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35" windowHeight="11640" firstSheet="2" activeTab="2"/>
  </bookViews>
  <sheets>
    <sheet name="согл" sheetId="1" state="hidden" r:id="rId1"/>
    <sheet name="Смета" sheetId="2" state="hidden" r:id="rId2"/>
    <sheet name="факт 201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" localSheetId="0">#REF!</definedName>
    <definedName name="a">#REF!</definedName>
    <definedName name="CompanyRange">'[2]рентаб'!#REF!</definedName>
    <definedName name="D25_F25__2__2_G25__H25_I25" localSheetId="0">#REF!</definedName>
    <definedName name="D25_F25__2__2_G25__H25_I25">#REF!</definedName>
    <definedName name="e">#REF!</definedName>
    <definedName name="H?Period" localSheetId="1">'[21]Заголовок'!$B$3</definedName>
    <definedName name="H?Period" localSheetId="0">'[19]Заголовок'!$B$3</definedName>
    <definedName name="H?Period">'[1]Заголовок'!$B$3</definedName>
    <definedName name="K111_">#REF!</definedName>
    <definedName name="K112_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l" localSheetId="0">#REF!</definedName>
    <definedName name="l">#REF!</definedName>
    <definedName name="N112_">#REF!</definedName>
    <definedName name="N120_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org" localSheetId="0">'[20]Анкета'!$A$5</definedName>
    <definedName name="org">'[6]Анкета'!$A$5</definedName>
    <definedName name="Processing">#REF!</definedName>
    <definedName name="ProducerRange">'[2]рентаб'!#REF!</definedName>
    <definedName name="q">#REF!</definedName>
    <definedName name="qq">#REF!</definedName>
    <definedName name="RabgeBudget">'[8]сент2006'!#REF!</definedName>
    <definedName name="raion" localSheetId="0">'[20]Анкета'!$B$8</definedName>
    <definedName name="raion">'[6]Анкета'!$B$8</definedName>
    <definedName name="RANGE" localSheetId="0">#REF!</definedName>
    <definedName name="RANGE">#REF!</definedName>
    <definedName name="RangeBDDR">'[8]сент2006'!#REF!</definedName>
    <definedName name="RangeBudget">'[8]сент2006'!#REF!</definedName>
    <definedName name="RangeMaterial">'[10]Список с  изм.проц-га'!#REF!</definedName>
    <definedName name="RangeProducer">'[2]рентаб'!#REF!</definedName>
    <definedName name="RangeRentab" localSheetId="0">#REF!</definedName>
    <definedName name="RangeRentab">#REF!</definedName>
    <definedName name="RangeTrans">'[8]сент2006'!#REF!</definedName>
    <definedName name="RangeTZD">'[10]Список с  изм.проц-га'!#REF!</definedName>
    <definedName name="REG">'[18]TEHSHEET'!$B$2:$B$85</definedName>
    <definedName name="RentabRang">'[2]рентаб'!#REF!</definedName>
    <definedName name="RentabRange">'[2]рентаб'!#REF!</definedName>
    <definedName name="wrn.План._.продаж." localSheetId="0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hidden="1">{"План товар",#N/A,FALSE,"товар"}</definedName>
    <definedName name="wrn.Товарн.выраб._.А4." localSheetId="0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w">#REF!</definedName>
    <definedName name="Z_281305A2_0B58_4807_84BA_25130D18B2C1_.wvu.Cols" hidden="1">#REF!,#REF!,#REF!</definedName>
    <definedName name="Z_281305A2_0B58_4807_84BA_25130D18B2C1_.wvu.FilterData" hidden="1">#REF!</definedName>
    <definedName name="Z_385641FD_5B07_4C42_B9D2_961BEFF68DDE_.wvu.Cols" localSheetId="0" hidden="1">'согл'!$A:$A,'согл'!$D:$H,'согл'!$J:$K</definedName>
    <definedName name="Z_385641FD_5B07_4C42_B9D2_961BEFF68DDE_.wvu.PrintArea" localSheetId="0" hidden="1">'согл'!$B$1:$I$80</definedName>
    <definedName name="Z_5336096B_8FA8_456F_A363_FE981E37A8C4_.wvu.Cols" localSheetId="0" hidden="1">#REF!</definedName>
    <definedName name="Z_5336096B_8FA8_456F_A363_FE981E37A8C4_.wvu.Cols" hidden="1">#REF!</definedName>
    <definedName name="Z_5336096B_8FA8_456F_A363_FE981E37A8C4_.wvu.FilterData" localSheetId="0" hidden="1">#REF!</definedName>
    <definedName name="Z_5336096B_8FA8_456F_A363_FE981E37A8C4_.wvu.FilterData" hidden="1">#REF!</definedName>
    <definedName name="Z_5336096B_8FA8_456F_A363_FE981E37A8C4_.wvu.PrintArea" localSheetId="0" hidden="1">#REF!</definedName>
    <definedName name="Z_5336096B_8FA8_456F_A363_FE981E37A8C4_.wvu.PrintArea" hidden="1">#REF!</definedName>
    <definedName name="Z_5336096B_8FA8_456F_A363_FE981E37A8C4_.wvu.Rows" localSheetId="0" hidden="1">#REF!,#REF!,#REF!</definedName>
    <definedName name="Z_5336096B_8FA8_456F_A363_FE981E37A8C4_.wvu.Rows" hidden="1">#REF!,#REF!,#REF!</definedName>
    <definedName name="Z_79065591_9A32_4891_BF55_6DFB85CAD440_.wvu.Cols" localSheetId="0" hidden="1">'согл'!$A:$A,'согл'!$D:$H,'согл'!$J:$K</definedName>
    <definedName name="Z_79065591_9A32_4891_BF55_6DFB85CAD440_.wvu.PrintArea" localSheetId="0" hidden="1">'согл'!$B$1:$I$80</definedName>
    <definedName name="Z_82162C14_21B9_4F0E_9062_D64779601F45_.wvu.Cols" localSheetId="0" hidden="1">#REF!</definedName>
    <definedName name="Z_82162C14_21B9_4F0E_9062_D64779601F45_.wvu.Cols" hidden="1">#REF!</definedName>
    <definedName name="Z_82162C14_21B9_4F0E_9062_D64779601F45_.wvu.FilterData" localSheetId="0" hidden="1">#REF!</definedName>
    <definedName name="Z_82162C14_21B9_4F0E_9062_D64779601F45_.wvu.FilterData" hidden="1">#REF!</definedName>
    <definedName name="Z_82162C14_21B9_4F0E_9062_D64779601F45_.wvu.PrintArea" localSheetId="0" hidden="1">#REF!</definedName>
    <definedName name="Z_82162C14_21B9_4F0E_9062_D64779601F45_.wvu.PrintArea" hidden="1">#REF!</definedName>
    <definedName name="Z_82162C14_21B9_4F0E_9062_D64779601F45_.wvu.Rows" localSheetId="0" hidden="1">#REF!,#REF!,#REF!,#REF!,#REF!,#REF!</definedName>
    <definedName name="Z_82162C14_21B9_4F0E_9062_D64779601F45_.wvu.Rows" hidden="1">#REF!,#REF!,#REF!,#REF!,#REF!,#REF!</definedName>
    <definedName name="Z_FE37EC85_783C_4815_9F7A_51E451811F1B_.wvu.Cols" localSheetId="0" hidden="1">#REF!</definedName>
    <definedName name="Z_FE37EC85_783C_4815_9F7A_51E451811F1B_.wvu.Cols" hidden="1">#REF!</definedName>
    <definedName name="Z_FE37EC85_783C_4815_9F7A_51E451811F1B_.wvu.FilterData" localSheetId="0" hidden="1">#REF!</definedName>
    <definedName name="Z_FE37EC85_783C_4815_9F7A_51E451811F1B_.wvu.FilterData" hidden="1">#REF!</definedName>
    <definedName name="Z_FE37EC85_783C_4815_9F7A_51E451811F1B_.wvu.PrintArea" localSheetId="0" hidden="1">#REF!</definedName>
    <definedName name="Z_FE37EC85_783C_4815_9F7A_51E451811F1B_.wvu.PrintArea" hidden="1">#REF!</definedName>
    <definedName name="Z_FE37EC85_783C_4815_9F7A_51E451811F1B_.wvu.Rows" localSheetId="0" hidden="1">#REF!,#REF!,#REF!</definedName>
    <definedName name="Z_FE37EC85_783C_4815_9F7A_51E451811F1B_.wvu.Rows" hidden="1">#REF!,#REF!,#REF!</definedName>
    <definedName name="Анализ">#REF!</definedName>
    <definedName name="ап" localSheetId="0">#REF!</definedName>
    <definedName name="ап">#REF!</definedName>
    <definedName name="БазовыйПериод" localSheetId="1">'[21]Заголовок'!$B$4</definedName>
    <definedName name="БазовыйПериод" localSheetId="0">'[19]Заголовок'!$B$4</definedName>
    <definedName name="БазовыйПериод">'[1]Заголовок'!$B$4</definedName>
    <definedName name="Год_отчета">2004</definedName>
    <definedName name="ЕСН">0.366</definedName>
    <definedName name="_xlnm.Print_Titles" localSheetId="1">'Смета'!$B:$C</definedName>
    <definedName name="индекс">#REF!</definedName>
    <definedName name="инфляция">1</definedName>
    <definedName name="июль" localSheetId="0">#REF!</definedName>
    <definedName name="июль">#REF!</definedName>
    <definedName name="июнь" localSheetId="0">#REF!</definedName>
    <definedName name="июнь">#REF!</definedName>
    <definedName name="Конец">12</definedName>
    <definedName name="курс">#REF!</definedName>
    <definedName name="КурсДол.">#REF!</definedName>
    <definedName name="КурсДолл">'[15]Лист1'!$O$3</definedName>
    <definedName name="КурсДоллара">#REF!</definedName>
    <definedName name="мр" localSheetId="0" hidden="1">{"Товар.выработка без продаж",#N/A,FALSE,"товар"}</definedName>
    <definedName name="мр" hidden="1">{"Товар.выработка без продаж",#N/A,FALSE,"товар"}</definedName>
    <definedName name="Начало">1</definedName>
    <definedName name="о" localSheetId="0">#REF!</definedName>
    <definedName name="о">#REF!</definedName>
    <definedName name="_xlnm.Print_Area" localSheetId="1">'Смета'!$B$1:$H$77</definedName>
    <definedName name="_xlnm.Print_Area" localSheetId="0">'согл'!$B$1:$I$78</definedName>
    <definedName name="Область_печати_ИМ" localSheetId="0">#REF!</definedName>
    <definedName name="Область_печати_ИМ">#REF!</definedName>
    <definedName name="Параметры">'[16]Параметры'!#REF!</definedName>
    <definedName name="ПоследнийГод" localSheetId="1">'[21]Заголовок'!$B$5</definedName>
    <definedName name="ПоследнийГод" localSheetId="0">'[19]Заголовок'!$B$5</definedName>
    <definedName name="ПоследнийГод">'[1]Заголовок'!$B$5</definedName>
    <definedName name="пр" localSheetId="0" hidden="1">{"План продаж",#N/A,FALSE,"товар"}</definedName>
    <definedName name="пр" hidden="1">{"План продаж",#N/A,FALSE,"товар"}</definedName>
    <definedName name="рол" localSheetId="0" hidden="1">{"Товар.выработка без продаж",#N/A,FALSE,"товар"}</definedName>
    <definedName name="рол" hidden="1">{"Товар.выработка без продаж",#N/A,FALSE,"товар"}</definedName>
    <definedName name="связь" localSheetId="0">#REF!</definedName>
    <definedName name="связь">#REF!</definedName>
    <definedName name="см" localSheetId="0" hidden="1">{"План продаж",#N/A,FALSE,"товар"}</definedName>
    <definedName name="см" hidden="1">{"План продаж",#N/A,FALSE,"товар"}</definedName>
    <definedName name="шшш">'[2]рентаб'!#REF!</definedName>
  </definedNames>
  <calcPr fullCalcOnLoad="1"/>
</workbook>
</file>

<file path=xl/sharedStrings.xml><?xml version="1.0" encoding="utf-8"?>
<sst xmlns="http://schemas.openxmlformats.org/spreadsheetml/2006/main" count="300" uniqueCount="170">
  <si>
    <t>ООО "Томскнефтехим"</t>
  </si>
  <si>
    <t>ВН</t>
  </si>
  <si>
    <t>О затратах на оплату потерь</t>
  </si>
  <si>
    <t xml:space="preserve">О балансе электрической энергии и мощности </t>
  </si>
  <si>
    <t>I</t>
  </si>
  <si>
    <t>II</t>
  </si>
  <si>
    <t>без НДС</t>
  </si>
  <si>
    <t>арендная плата</t>
  </si>
  <si>
    <t>Населенный пункт:</t>
  </si>
  <si>
    <t>Таблица № П1.15.</t>
  </si>
  <si>
    <t>A1 - условия.  1 - то в (31SET) попадает столбик "I", если другая цифра то столбик "H"</t>
  </si>
  <si>
    <t>Смета затрат на передачу электрической энергии</t>
  </si>
  <si>
    <t>(тыс. руб.)</t>
  </si>
  <si>
    <t>в 31SET</t>
  </si>
  <si>
    <t xml:space="preserve">№ п/п </t>
  </si>
  <si>
    <t>Наименование показателя</t>
  </si>
  <si>
    <t>1.</t>
  </si>
  <si>
    <t>Сырье, основные материалы</t>
  </si>
  <si>
    <t>2.</t>
  </si>
  <si>
    <t>Вспомогательные материалы</t>
  </si>
  <si>
    <t>3.</t>
  </si>
  <si>
    <t>Работы и услуги производственного  характера, в т. числе (3.1.-:-3.3.):</t>
  </si>
  <si>
    <t>3.1.</t>
  </si>
  <si>
    <t>подрядным способом</t>
  </si>
  <si>
    <t>3.2.</t>
  </si>
  <si>
    <t>услуги вспомогательных производств, в т. числе (3.2.1.-:-3.2.2.):</t>
  </si>
  <si>
    <t>3.2.1.</t>
  </si>
  <si>
    <t xml:space="preserve">          транспортный цех</t>
  </si>
  <si>
    <t>3.2.2.</t>
  </si>
  <si>
    <t xml:space="preserve">           прочие услуги вспомогательных цехов</t>
  </si>
  <si>
    <t>3.3.</t>
  </si>
  <si>
    <t xml:space="preserve"> иные работы и услуги производственного характера</t>
  </si>
  <si>
    <t>4.</t>
  </si>
  <si>
    <t>Энергия, Всего</t>
  </si>
  <si>
    <t>4.1.</t>
  </si>
  <si>
    <t>В т. ч. энергия на хозяйственные нужды</t>
  </si>
  <si>
    <t>5.</t>
  </si>
  <si>
    <t>Затраты на оплату труда</t>
  </si>
  <si>
    <t>6.</t>
  </si>
  <si>
    <t xml:space="preserve">Страховые взносы </t>
  </si>
  <si>
    <t>7.</t>
  </si>
  <si>
    <t>Платежи в ФСС от несчастных случаев на производстве и профессиональных заболеваний</t>
  </si>
  <si>
    <t>6.1.</t>
  </si>
  <si>
    <t>Ставка платежей страховых взносов</t>
  </si>
  <si>
    <t>7.1.</t>
  </si>
  <si>
    <t>Ставка платежей от несчастных случаев</t>
  </si>
  <si>
    <t>8.</t>
  </si>
  <si>
    <t>Амортизация основных средств</t>
  </si>
  <si>
    <t>в том числе: ВН</t>
  </si>
  <si>
    <t>в том числе: СН1</t>
  </si>
  <si>
    <t>в том числе: СН11</t>
  </si>
  <si>
    <t>в том числе: НН</t>
  </si>
  <si>
    <t>9.</t>
  </si>
  <si>
    <t>Отчисления в ремонтный фонд (в случае его формирования)</t>
  </si>
  <si>
    <t>10.</t>
  </si>
  <si>
    <t>Прочие цеховые расходы всего, сумма строк (10.1.-:-10.8.):</t>
  </si>
  <si>
    <t>10.1.</t>
  </si>
  <si>
    <t>расходы на оплату работ и услуг непроизводственного характера</t>
  </si>
  <si>
    <t>плата за предельно-допустимые выбросы</t>
  </si>
  <si>
    <t>10.2.</t>
  </si>
  <si>
    <t>налог на землю</t>
  </si>
  <si>
    <t>10.3.</t>
  </si>
  <si>
    <t>прочие налоги (водный, транспортный)</t>
  </si>
  <si>
    <t>10.4.</t>
  </si>
  <si>
    <t>10.5.</t>
  </si>
  <si>
    <t>расходы на страхование</t>
  </si>
  <si>
    <t>10.6.</t>
  </si>
  <si>
    <t>расходы на обучение</t>
  </si>
  <si>
    <t>10.7.</t>
  </si>
  <si>
    <t>прочие цеховые расходы, не поименованные выше</t>
  </si>
  <si>
    <t>11.</t>
  </si>
  <si>
    <t>Итого цеховых расходов</t>
  </si>
  <si>
    <t>12.</t>
  </si>
  <si>
    <t>Прочие расходы (12.1.+12.2+12.3-12.4):</t>
  </si>
  <si>
    <t>12.1.</t>
  </si>
  <si>
    <t>Общехозяйственные расходы всего, из них (12.1.1.-:-12.1.4.):</t>
  </si>
  <si>
    <t>12.1.1.</t>
  </si>
  <si>
    <t>Заработная плата АУП</t>
  </si>
  <si>
    <t>12.1.2.</t>
  </si>
  <si>
    <t xml:space="preserve">        Страховые взносы </t>
  </si>
  <si>
    <t>12.1.3.</t>
  </si>
  <si>
    <t>12.1.4.</t>
  </si>
  <si>
    <t>Прочие общехозяйственные расходы</t>
  </si>
  <si>
    <t>12.2.</t>
  </si>
  <si>
    <t xml:space="preserve">Прочие расходы </t>
  </si>
  <si>
    <t>12.3.</t>
  </si>
  <si>
    <t>Недополученный по независящим причинам доход</t>
  </si>
  <si>
    <t>12.4.</t>
  </si>
  <si>
    <t>Избыток средств, полученный в предыдущем периоде регулирования</t>
  </si>
  <si>
    <t>13.</t>
  </si>
  <si>
    <t>Расходы на покупку потерь электрической энергии</t>
  </si>
  <si>
    <t>14.</t>
  </si>
  <si>
    <t>Итого  расходов (без покупной эл. энергии)</t>
  </si>
  <si>
    <t>15.</t>
  </si>
  <si>
    <t>Прибыль</t>
  </si>
  <si>
    <t>16.</t>
  </si>
  <si>
    <t>Итого НВВ по содержанию электрических сетей, (тыс.руб.)</t>
  </si>
  <si>
    <t>17.</t>
  </si>
  <si>
    <t>в т.ч. НВВ на сторонних потребителей</t>
  </si>
  <si>
    <t>17.1.</t>
  </si>
  <si>
    <t>в т.ч. на содержание электрических сетей</t>
  </si>
  <si>
    <t>17.2.</t>
  </si>
  <si>
    <t>в т.ч. на покупку потерь электрической энергии</t>
  </si>
  <si>
    <t>18.</t>
  </si>
  <si>
    <t>Полезный отпуск электроэнергии, тыс. кВт. ч., всего, в т.ч.</t>
  </si>
  <si>
    <t>18.1.</t>
  </si>
  <si>
    <t>Собственное потребление, тыс. кВт. ч .</t>
  </si>
  <si>
    <t>18.2.</t>
  </si>
  <si>
    <t>Стороннее потребление, тыс. квт.ч.</t>
  </si>
  <si>
    <t>Заявленная (расчетная) мощность, МВт</t>
  </si>
  <si>
    <t xml:space="preserve">Нормативная (фактическая) численность </t>
  </si>
  <si>
    <t>Средняя заработная плата (руб.)</t>
  </si>
  <si>
    <t>21.</t>
  </si>
  <si>
    <t>Ставка первого разряда (руб.)</t>
  </si>
  <si>
    <t xml:space="preserve">Руководитель организации </t>
  </si>
  <si>
    <t>___________</t>
  </si>
  <si>
    <t>М.П.</t>
  </si>
  <si>
    <t>(подпись)</t>
  </si>
  <si>
    <t>(ФИО)</t>
  </si>
  <si>
    <t>Главный бухгалтер</t>
  </si>
  <si>
    <t>____________</t>
  </si>
  <si>
    <t>г.Томск</t>
  </si>
  <si>
    <t>Смета расходов на содержание электрических сетей на услуги по передаче электрической энергии</t>
  </si>
  <si>
    <t>без учета НДС</t>
  </si>
  <si>
    <t>2009 утверждено</t>
  </si>
  <si>
    <t>2009 факт</t>
  </si>
  <si>
    <t>План на 2010 год</t>
  </si>
  <si>
    <t>Ожид. на 2010 год ОРГ</t>
  </si>
  <si>
    <t>Период регулирования 2011 год</t>
  </si>
  <si>
    <t>по данным ОРГ</t>
  </si>
  <si>
    <t>Работы и услуги производственного  характера</t>
  </si>
  <si>
    <t>Страховые взносы</t>
  </si>
  <si>
    <t>Прочие цеховые расходы всего, сумма строк (10.1.-:-10.7.):</t>
  </si>
  <si>
    <r>
      <t xml:space="preserve">Общехозяйственные расходы </t>
    </r>
    <r>
      <rPr>
        <sz val="12"/>
        <color indexed="9"/>
        <rFont val="Times New Roman"/>
        <family val="1"/>
      </rPr>
      <t>всего, из них (12.1.1.-:-12.1.4.):</t>
    </r>
  </si>
  <si>
    <t>Итого  расходов</t>
  </si>
  <si>
    <t>15.1.</t>
  </si>
  <si>
    <t>НВВ на сторонних потребителей</t>
  </si>
  <si>
    <t>15.2.</t>
  </si>
  <si>
    <t>16.1.</t>
  </si>
  <si>
    <t>16.2.</t>
  </si>
  <si>
    <t>Стороннее потребление, тыс. кВт.ч.</t>
  </si>
  <si>
    <t>Полезный отпуск электроэнергии для расчета НВВ на сторонних потребителей , тыс. кВт. ч., всего, в т.ч.</t>
  </si>
  <si>
    <t>собственное потребление, тыс. кВт. ч .</t>
  </si>
  <si>
    <t>стороннее потребление, тыс. квт.ч.</t>
  </si>
  <si>
    <t>Заявленная (расчетная) мощность потребителей, МВт</t>
  </si>
  <si>
    <t>19.</t>
  </si>
  <si>
    <t>20.</t>
  </si>
  <si>
    <t>С НВВ  на содержание электрических сетей для сторонних потребителей  в сумме 5 283,63 тыс. руб.  согласен.</t>
  </si>
  <si>
    <t>Руководитель организации       ________________________</t>
  </si>
  <si>
    <t>Казанцев.В.Н.</t>
  </si>
  <si>
    <t>И. Г. Климов</t>
  </si>
  <si>
    <t>М.П.                                                                                          Подпись</t>
  </si>
  <si>
    <t>ФИО</t>
  </si>
  <si>
    <t>в смете за 2011год фот нат ремонт ЭРЦ+РП+подрядчика=182,7+201,3+2,3+11,7+16,1+7,1+2,3</t>
  </si>
  <si>
    <t>ООО_Томскнефтехим</t>
  </si>
  <si>
    <t>НН</t>
  </si>
  <si>
    <t>СН 1</t>
  </si>
  <si>
    <t>СН 2</t>
  </si>
  <si>
    <t>Потери в сетях, тыс.кВтч</t>
  </si>
  <si>
    <t>Потери в сетях, %</t>
  </si>
  <si>
    <t>Отпуск электроэнергии в сеть, тыс.кВтч</t>
  </si>
  <si>
    <t>Объем переданной электроэнергии по договорам об оказании услуг по передаче электроэнергии, тыс.кВтч</t>
  </si>
  <si>
    <t>Сведения об отпуске (передаче) электроэнергии потребителям и о затратах на оплату потерь</t>
  </si>
  <si>
    <t>Уровень напряжения</t>
  </si>
  <si>
    <t>№ п/п</t>
  </si>
  <si>
    <t>Закупка электроэнергии для компенсации потерь в сетях, тыс. руб.</t>
  </si>
  <si>
    <t>Отпуск электроэнергии из сети сторонним потребителям , тыс.кВтч</t>
  </si>
  <si>
    <t>Размер фактических потерь, оплачиваемых покупателями , тыс. кВтч</t>
  </si>
  <si>
    <t>Затраты на покупку потерь в собственных сетях, тыс. руб.</t>
  </si>
  <si>
    <t>факт 2012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</si>
</sst>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0.0000"/>
    <numFmt numFmtId="168" formatCode="#,##0.0000"/>
    <numFmt numFmtId="169" formatCode="#,##0.00000"/>
    <numFmt numFmtId="170" formatCode="0.00000"/>
    <numFmt numFmtId="171" formatCode="0.000000"/>
    <numFmt numFmtId="172" formatCode="0.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[$€-1]_-;\-* #,##0.00[$€-1]_-;_-* &quot;-&quot;??[$€-1]_-"/>
    <numFmt numFmtId="178" formatCode="#,##0.0;[Red]#,##0.0"/>
    <numFmt numFmtId="179" formatCode="_(* #,##0_);_(* \(#,##0\);_(* &quot;-&quot;_);_(@_)"/>
    <numFmt numFmtId="180" formatCode="_(* #,##0.00_);_(* \(#,##0.00\);_(* &quot;-&quot;??_);_(@_)"/>
    <numFmt numFmtId="181" formatCode="#,##0.0"/>
    <numFmt numFmtId="182" formatCode="_-* #,##0.0_р_._-;\-* #,##0.0_р_._-;_-* &quot;-&quot;??_р_._-;_-@_-"/>
    <numFmt numFmtId="183" formatCode="0.0%"/>
    <numFmt numFmtId="184" formatCode="0.000%"/>
    <numFmt numFmtId="185" formatCode="#,##0.00_р_."/>
    <numFmt numFmtId="186" formatCode="#,##0_);[Red]\(#,##0\)"/>
    <numFmt numFmtId="187" formatCode="_-* #,##0.000_р_._-;\-* #,##0.000_р_._-;_-* &quot;-&quot;??_р_._-;_-@_-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Arial Cyr"/>
      <family val="0"/>
    </font>
    <font>
      <sz val="10"/>
      <name val="Helv"/>
      <family val="0"/>
    </font>
    <font>
      <sz val="10"/>
      <name val="Arial Cyr"/>
      <family val="0"/>
    </font>
    <font>
      <sz val="10"/>
      <name val="Geneva"/>
      <family val="2"/>
    </font>
    <font>
      <sz val="8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MS Sans Serif"/>
      <family val="2"/>
    </font>
    <font>
      <sz val="11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b/>
      <sz val="8"/>
      <name val="Times New Roman Cyr"/>
      <family val="0"/>
    </font>
    <font>
      <sz val="10"/>
      <name val="Times New Roman Cyr"/>
      <family val="0"/>
    </font>
    <font>
      <sz val="10"/>
      <name val="Times New Roman"/>
      <family val="1"/>
    </font>
    <font>
      <b/>
      <sz val="10"/>
      <color indexed="10"/>
      <name val="Times New Roman CYR"/>
      <family val="0"/>
    </font>
    <font>
      <sz val="8"/>
      <color indexed="10"/>
      <name val="Times New Roman Cyr"/>
      <family val="0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color indexed="10"/>
      <name val="Times New Roman Cyr"/>
      <family val="1"/>
    </font>
    <font>
      <sz val="10"/>
      <color indexed="8"/>
      <name val="Times New Roman"/>
      <family val="1"/>
    </font>
    <font>
      <b/>
      <sz val="10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"/>
      <name val="Times New Roman Cyr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 Cyr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rgb="FF0000CC"/>
      <name val="Arial"/>
      <family val="2"/>
    </font>
    <font>
      <b/>
      <sz val="12"/>
      <color theme="0"/>
      <name val="Arial"/>
      <family val="2"/>
    </font>
    <font>
      <sz val="11"/>
      <color rgb="FF0000CC"/>
      <name val="Arial"/>
      <family val="2"/>
    </font>
    <font>
      <sz val="11"/>
      <color rgb="FFFF0000"/>
      <name val="Arial"/>
      <family val="2"/>
    </font>
    <font>
      <b/>
      <sz val="11"/>
      <color rgb="FF0000CC"/>
      <name val="Arial"/>
      <family val="2"/>
    </font>
    <font>
      <b/>
      <sz val="9"/>
      <color theme="1"/>
      <name val="Calibri"/>
      <family val="2"/>
    </font>
    <font>
      <b/>
      <sz val="11"/>
      <color rgb="FF0000CC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6" fillId="0" borderId="0">
      <alignment/>
      <protection/>
    </xf>
    <xf numFmtId="177" fontId="6" fillId="0" borderId="0" applyFont="0" applyFill="0" applyBorder="0" applyAlignment="0" applyProtection="0"/>
    <xf numFmtId="3" fontId="6" fillId="0" borderId="1" applyFont="0" applyBorder="0">
      <alignment horizontal="center" vertical="center"/>
      <protection/>
    </xf>
    <xf numFmtId="0" fontId="7" fillId="0" borderId="0">
      <alignment/>
      <protection/>
    </xf>
    <xf numFmtId="178" fontId="6" fillId="0" borderId="0" applyFont="0" applyAlignment="0">
      <protection/>
    </xf>
    <xf numFmtId="0" fontId="8" fillId="0" borderId="0">
      <alignment horizontal="left" vertical="center" wrapText="1"/>
      <protection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2" applyNumberFormat="0" applyAlignment="0" applyProtection="0"/>
    <xf numFmtId="0" fontId="77" fillId="27" borderId="3" applyNumberFormat="0" applyAlignment="0" applyProtection="0"/>
    <xf numFmtId="0" fontId="78" fillId="27" borderId="2" applyNumberFormat="0" applyAlignment="0" applyProtection="0"/>
    <xf numFmtId="0" fontId="2" fillId="0" borderId="0" applyNumberFormat="0" applyFill="0" applyBorder="0" applyAlignment="0" applyProtection="0"/>
    <xf numFmtId="0" fontId="6" fillId="0" borderId="0" applyBorder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1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4" fontId="11" fillId="28" borderId="8" applyBorder="0">
      <alignment horizontal="right"/>
      <protection/>
    </xf>
    <xf numFmtId="0" fontId="82" fillId="0" borderId="9" applyNumberFormat="0" applyFill="0" applyAlignment="0" applyProtection="0"/>
    <xf numFmtId="0" fontId="83" fillId="29" borderId="10" applyNumberFormat="0" applyAlignment="0" applyProtection="0"/>
    <xf numFmtId="0" fontId="6" fillId="0" borderId="0">
      <alignment wrapText="1"/>
      <protection/>
    </xf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86" fillId="31" borderId="0" applyNumberFormat="0" applyBorder="0" applyAlignment="0" applyProtection="0"/>
    <xf numFmtId="0" fontId="87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8" applyNumberFormat="0" applyFont="0" applyFill="0" applyAlignment="0" applyProtection="0"/>
    <xf numFmtId="0" fontId="88" fillId="0" borderId="12" applyNumberFormat="0" applyFill="0" applyAlignment="0" applyProtection="0"/>
    <xf numFmtId="0" fontId="6" fillId="0" borderId="0">
      <alignment/>
      <protection/>
    </xf>
    <xf numFmtId="186" fontId="14" fillId="0" borderId="0">
      <alignment vertical="top"/>
      <protection/>
    </xf>
    <xf numFmtId="0" fontId="89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11" fillId="33" borderId="0" applyFont="0" applyBorder="0">
      <alignment horizontal="right"/>
      <protection/>
    </xf>
    <xf numFmtId="4" fontId="11" fillId="33" borderId="13" applyBorder="0">
      <alignment horizontal="right"/>
      <protection/>
    </xf>
    <xf numFmtId="0" fontId="90" fillId="34" borderId="0" applyNumberFormat="0" applyBorder="0" applyAlignment="0" applyProtection="0"/>
    <xf numFmtId="3" fontId="6" fillId="0" borderId="0" applyFont="0" applyBorder="0">
      <alignment horizontal="center"/>
      <protection/>
    </xf>
  </cellStyleXfs>
  <cellXfs count="308">
    <xf numFmtId="0" fontId="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15" fillId="0" borderId="0" xfId="16" applyNumberFormat="1" applyFont="1" applyFill="1" applyBorder="1" applyProtection="1">
      <alignment/>
      <protection/>
    </xf>
    <xf numFmtId="0" fontId="16" fillId="35" borderId="14" xfId="16" applyNumberFormat="1" applyFont="1" applyFill="1" applyBorder="1" applyAlignment="1" applyProtection="1">
      <alignment horizontal="left"/>
      <protection locked="0"/>
    </xf>
    <xf numFmtId="0" fontId="17" fillId="0" borderId="0" xfId="73" applyFont="1">
      <alignment/>
      <protection/>
    </xf>
    <xf numFmtId="0" fontId="18" fillId="0" borderId="0" xfId="16" applyFont="1" applyAlignment="1" applyProtection="1">
      <alignment horizontal="right"/>
      <protection/>
    </xf>
    <xf numFmtId="0" fontId="17" fillId="0" borderId="0" xfId="73" applyFont="1" applyAlignment="1">
      <alignment horizontal="left"/>
      <protection/>
    </xf>
    <xf numFmtId="0" fontId="19" fillId="0" borderId="15" xfId="16" applyNumberFormat="1" applyFont="1" applyFill="1" applyBorder="1" applyAlignment="1" applyProtection="1">
      <alignment horizontal="left" indent="1"/>
      <protection/>
    </xf>
    <xf numFmtId="0" fontId="20" fillId="0" borderId="16" xfId="16" applyNumberFormat="1" applyFont="1" applyFill="1" applyBorder="1" applyProtection="1">
      <alignment/>
      <protection/>
    </xf>
    <xf numFmtId="0" fontId="20" fillId="0" borderId="17" xfId="16" applyNumberFormat="1" applyFont="1" applyFill="1" applyBorder="1" applyProtection="1">
      <alignment/>
      <protection/>
    </xf>
    <xf numFmtId="0" fontId="21" fillId="0" borderId="0" xfId="16" applyNumberFormat="1" applyFont="1" applyFill="1" applyBorder="1" applyProtection="1">
      <alignment/>
      <protection/>
    </xf>
    <xf numFmtId="2" fontId="22" fillId="0" borderId="0" xfId="16" applyNumberFormat="1" applyFont="1" applyFill="1" applyBorder="1" applyProtection="1">
      <alignment/>
      <protection/>
    </xf>
    <xf numFmtId="0" fontId="23" fillId="0" borderId="0" xfId="16" applyFont="1" applyFill="1" applyAlignment="1" applyProtection="1">
      <alignment horizontal="right"/>
      <protection/>
    </xf>
    <xf numFmtId="2" fontId="21" fillId="0" borderId="0" xfId="16" applyNumberFormat="1" applyFont="1" applyFill="1" applyBorder="1" applyProtection="1">
      <alignment/>
      <protection/>
    </xf>
    <xf numFmtId="0" fontId="18" fillId="35" borderId="0" xfId="16" applyFont="1" applyFill="1" applyAlignment="1" applyProtection="1">
      <alignment horizontal="right"/>
      <protection locked="0"/>
    </xf>
    <xf numFmtId="0" fontId="18" fillId="0" borderId="0" xfId="16" applyFont="1" applyFill="1" applyAlignment="1" applyProtection="1">
      <alignment vertical="top"/>
      <protection/>
    </xf>
    <xf numFmtId="0" fontId="24" fillId="0" borderId="0" xfId="16" applyFont="1" applyAlignment="1" applyProtection="1">
      <alignment vertical="top"/>
      <protection/>
    </xf>
    <xf numFmtId="0" fontId="25" fillId="0" borderId="0" xfId="16" applyFont="1" applyAlignment="1" applyProtection="1">
      <alignment vertical="top" wrapText="1"/>
      <protection/>
    </xf>
    <xf numFmtId="2" fontId="17" fillId="35" borderId="0" xfId="16" applyNumberFormat="1" applyFont="1" applyFill="1" applyBorder="1" applyAlignment="1" applyProtection="1">
      <alignment horizontal="right"/>
      <protection locked="0"/>
    </xf>
    <xf numFmtId="0" fontId="18" fillId="0" borderId="0" xfId="16" applyFont="1" applyAlignment="1" applyProtection="1">
      <alignment vertical="top"/>
      <protection/>
    </xf>
    <xf numFmtId="0" fontId="16" fillId="0" borderId="8" xfId="74" applyNumberFormat="1" applyFont="1" applyFill="1" applyBorder="1" applyAlignment="1" applyProtection="1">
      <alignment horizontal="center" vertical="center"/>
      <protection/>
    </xf>
    <xf numFmtId="0" fontId="15" fillId="0" borderId="8" xfId="16" applyNumberFormat="1" applyFont="1" applyFill="1" applyBorder="1" applyAlignment="1" applyProtection="1">
      <alignment horizontal="center"/>
      <protection/>
    </xf>
    <xf numFmtId="0" fontId="17" fillId="0" borderId="8" xfId="74" applyNumberFormat="1" applyFont="1" applyFill="1" applyBorder="1" applyAlignment="1" applyProtection="1">
      <alignment horizontal="center" vertical="center"/>
      <protection/>
    </xf>
    <xf numFmtId="0" fontId="17" fillId="0" borderId="18" xfId="74" applyNumberFormat="1" applyFont="1" applyFill="1" applyBorder="1" applyProtection="1">
      <alignment/>
      <protection/>
    </xf>
    <xf numFmtId="2" fontId="17" fillId="35" borderId="8" xfId="74" applyNumberFormat="1" applyFont="1" applyFill="1" applyBorder="1" applyAlignment="1" applyProtection="1">
      <alignment horizontal="right" vertical="center" wrapText="1"/>
      <protection locked="0"/>
    </xf>
    <xf numFmtId="4" fontId="27" fillId="0" borderId="8" xfId="94" applyNumberFormat="1" applyFont="1" applyFill="1" applyBorder="1" applyAlignment="1" applyProtection="1">
      <alignment horizontal="right" vertical="center"/>
      <protection locked="0"/>
    </xf>
    <xf numFmtId="2" fontId="17" fillId="0" borderId="8" xfId="16" applyNumberFormat="1" applyFont="1" applyFill="1" applyBorder="1" applyAlignment="1" applyProtection="1">
      <alignment horizontal="right" vertical="center"/>
      <protection locked="0"/>
    </xf>
    <xf numFmtId="43" fontId="17" fillId="0" borderId="8" xfId="94" applyFont="1" applyFill="1" applyBorder="1" applyAlignment="1" applyProtection="1">
      <alignment/>
      <protection/>
    </xf>
    <xf numFmtId="0" fontId="17" fillId="0" borderId="0" xfId="16" applyNumberFormat="1" applyFont="1" applyFill="1" applyBorder="1" applyProtection="1">
      <alignment/>
      <protection/>
    </xf>
    <xf numFmtId="4" fontId="18" fillId="0" borderId="8" xfId="94" applyNumberFormat="1" applyFont="1" applyFill="1" applyBorder="1" applyAlignment="1" applyProtection="1">
      <alignment horizontal="right" vertical="center"/>
      <protection locked="0"/>
    </xf>
    <xf numFmtId="0" fontId="17" fillId="0" borderId="8" xfId="74" applyNumberFormat="1" applyFont="1" applyFill="1" applyBorder="1" applyAlignment="1" applyProtection="1">
      <alignment horizontal="center" vertical="center"/>
      <protection/>
    </xf>
    <xf numFmtId="0" fontId="17" fillId="0" borderId="18" xfId="74" applyNumberFormat="1" applyFont="1" applyFill="1" applyBorder="1" applyAlignment="1" applyProtection="1">
      <alignment wrapText="1"/>
      <protection/>
    </xf>
    <xf numFmtId="2" fontId="17" fillId="0" borderId="8" xfId="74" applyNumberFormat="1" applyFont="1" applyFill="1" applyBorder="1" applyAlignment="1" applyProtection="1">
      <alignment horizontal="right" vertical="center" wrapText="1"/>
      <protection/>
    </xf>
    <xf numFmtId="4" fontId="17" fillId="0" borderId="8" xfId="74" applyNumberFormat="1" applyFont="1" applyFill="1" applyBorder="1" applyAlignment="1" applyProtection="1">
      <alignment horizontal="right" vertical="center" wrapText="1"/>
      <protection/>
    </xf>
    <xf numFmtId="0" fontId="28" fillId="0" borderId="0" xfId="16" applyNumberFormat="1" applyFont="1" applyFill="1" applyBorder="1" applyProtection="1">
      <alignment/>
      <protection/>
    </xf>
    <xf numFmtId="0" fontId="17" fillId="0" borderId="18" xfId="74" applyNumberFormat="1" applyFont="1" applyFill="1" applyBorder="1" applyAlignment="1" applyProtection="1">
      <alignment horizontal="left" indent="1"/>
      <protection/>
    </xf>
    <xf numFmtId="4" fontId="18" fillId="35" borderId="8" xfId="94" applyNumberFormat="1" applyFont="1" applyFill="1" applyBorder="1" applyAlignment="1" applyProtection="1">
      <alignment horizontal="right" vertical="center"/>
      <protection locked="0"/>
    </xf>
    <xf numFmtId="2" fontId="17" fillId="35" borderId="8" xfId="16" applyNumberFormat="1" applyFont="1" applyFill="1" applyBorder="1" applyAlignment="1" applyProtection="1">
      <alignment horizontal="right" vertical="center"/>
      <protection locked="0"/>
    </xf>
    <xf numFmtId="2" fontId="17" fillId="35" borderId="8" xfId="16" applyNumberFormat="1" applyFont="1" applyFill="1" applyBorder="1" applyProtection="1">
      <alignment/>
      <protection locked="0"/>
    </xf>
    <xf numFmtId="0" fontId="17" fillId="0" borderId="8" xfId="74" applyNumberFormat="1" applyFont="1" applyFill="1" applyBorder="1" applyAlignment="1" applyProtection="1">
      <alignment horizontal="center" vertical="center" wrapText="1"/>
      <protection/>
    </xf>
    <xf numFmtId="0" fontId="17" fillId="0" borderId="18" xfId="74" applyNumberFormat="1" applyFont="1" applyFill="1" applyBorder="1" applyAlignment="1" applyProtection="1">
      <alignment horizontal="left" vertical="center" wrapText="1" indent="1"/>
      <protection/>
    </xf>
    <xf numFmtId="2" fontId="17" fillId="0" borderId="8" xfId="74" applyNumberFormat="1" applyFont="1" applyFill="1" applyBorder="1" applyAlignment="1" applyProtection="1">
      <alignment horizontal="right" vertical="center" wrapText="1"/>
      <protection/>
    </xf>
    <xf numFmtId="4" fontId="17" fillId="0" borderId="8" xfId="74" applyNumberFormat="1" applyFont="1" applyFill="1" applyBorder="1" applyAlignment="1" applyProtection="1">
      <alignment horizontal="right" vertical="center" wrapText="1"/>
      <protection locked="0"/>
    </xf>
    <xf numFmtId="0" fontId="17" fillId="35" borderId="8" xfId="16" applyNumberFormat="1" applyFont="1" applyFill="1" applyBorder="1" applyProtection="1">
      <alignment/>
      <protection locked="0"/>
    </xf>
    <xf numFmtId="0" fontId="17" fillId="0" borderId="19" xfId="74" applyNumberFormat="1" applyFont="1" applyFill="1" applyBorder="1" applyAlignment="1" applyProtection="1">
      <alignment horizontal="center" vertical="center" wrapText="1"/>
      <protection/>
    </xf>
    <xf numFmtId="2" fontId="18" fillId="35" borderId="8" xfId="94" applyNumberFormat="1" applyFont="1" applyFill="1" applyBorder="1" applyAlignment="1" applyProtection="1">
      <alignment horizontal="right" vertical="center" wrapText="1"/>
      <protection locked="0"/>
    </xf>
    <xf numFmtId="4" fontId="17" fillId="0" borderId="8" xfId="94" applyNumberFormat="1" applyFont="1" applyFill="1" applyBorder="1" applyAlignment="1" applyProtection="1">
      <alignment horizontal="right" vertical="center" wrapText="1"/>
      <protection locked="0"/>
    </xf>
    <xf numFmtId="2" fontId="17" fillId="35" borderId="8" xfId="94" applyNumberFormat="1" applyFont="1" applyFill="1" applyBorder="1" applyAlignment="1" applyProtection="1">
      <alignment horizontal="right" vertical="center" wrapText="1"/>
      <protection locked="0"/>
    </xf>
    <xf numFmtId="2" fontId="17" fillId="0" borderId="8" xfId="94" applyNumberFormat="1" applyFont="1" applyFill="1" applyBorder="1" applyAlignment="1" applyProtection="1">
      <alignment horizontal="right" vertical="center" wrapText="1"/>
      <protection locked="0"/>
    </xf>
    <xf numFmtId="182" fontId="17" fillId="0" borderId="8" xfId="94" applyNumberFormat="1" applyFont="1" applyFill="1" applyBorder="1" applyAlignment="1" applyProtection="1">
      <alignment horizontal="right" vertical="center" wrapText="1"/>
      <protection/>
    </xf>
    <xf numFmtId="0" fontId="17" fillId="0" borderId="8" xfId="74" applyNumberFormat="1" applyFont="1" applyFill="1" applyBorder="1" applyAlignment="1" applyProtection="1">
      <alignment wrapText="1"/>
      <protection/>
    </xf>
    <xf numFmtId="2" fontId="17" fillId="0" borderId="8" xfId="74" applyNumberFormat="1" applyFont="1" applyFill="1" applyBorder="1" applyAlignment="1" applyProtection="1">
      <alignment horizontal="right" vertical="center" wrapText="1"/>
      <protection locked="0"/>
    </xf>
    <xf numFmtId="0" fontId="17" fillId="0" borderId="8" xfId="16" applyNumberFormat="1" applyFont="1" applyFill="1" applyBorder="1" applyProtection="1">
      <alignment/>
      <protection/>
    </xf>
    <xf numFmtId="0" fontId="17" fillId="0" borderId="8" xfId="74" applyNumberFormat="1" applyFont="1" applyFill="1" applyBorder="1" applyAlignment="1" applyProtection="1">
      <alignment horizontal="left" wrapText="1" indent="1"/>
      <protection/>
    </xf>
    <xf numFmtId="4" fontId="17" fillId="35" borderId="8" xfId="74" applyNumberFormat="1" applyFont="1" applyFill="1" applyBorder="1" applyAlignment="1" applyProtection="1">
      <alignment horizontal="right" vertical="center" wrapText="1"/>
      <protection locked="0"/>
    </xf>
    <xf numFmtId="0" fontId="17" fillId="0" borderId="8" xfId="74" applyNumberFormat="1" applyFont="1" applyFill="1" applyBorder="1" applyProtection="1">
      <alignment/>
      <protection/>
    </xf>
    <xf numFmtId="2" fontId="17" fillId="35" borderId="8" xfId="74" applyNumberFormat="1" applyFont="1" applyFill="1" applyBorder="1" applyAlignment="1" applyProtection="1">
      <alignment horizontal="right" vertical="center"/>
      <protection locked="0"/>
    </xf>
    <xf numFmtId="0" fontId="17" fillId="0" borderId="8" xfId="74" applyNumberFormat="1" applyFont="1" applyFill="1" applyBorder="1" applyAlignment="1" applyProtection="1">
      <alignment horizontal="left" vertical="center" wrapText="1"/>
      <protection/>
    </xf>
    <xf numFmtId="2" fontId="18" fillId="0" borderId="8" xfId="94" applyNumberFormat="1" applyFont="1" applyFill="1" applyBorder="1" applyAlignment="1" applyProtection="1">
      <alignment horizontal="right" vertical="center" wrapText="1"/>
      <protection/>
    </xf>
    <xf numFmtId="2" fontId="17" fillId="0" borderId="8" xfId="94" applyNumberFormat="1" applyFont="1" applyFill="1" applyBorder="1" applyAlignment="1" applyProtection="1">
      <alignment horizontal="right" vertical="center" wrapText="1"/>
      <protection/>
    </xf>
    <xf numFmtId="0" fontId="17" fillId="0" borderId="18" xfId="74" applyNumberFormat="1" applyFont="1" applyFill="1" applyBorder="1" applyAlignment="1" applyProtection="1">
      <alignment horizontal="left" vertical="center" wrapText="1"/>
      <protection/>
    </xf>
    <xf numFmtId="2" fontId="18" fillId="0" borderId="8" xfId="80" applyNumberFormat="1" applyFont="1" applyFill="1" applyBorder="1" applyAlignment="1" applyProtection="1">
      <alignment horizontal="right" vertical="center" wrapText="1"/>
      <protection/>
    </xf>
    <xf numFmtId="10" fontId="15" fillId="0" borderId="0" xfId="16" applyNumberFormat="1" applyFont="1" applyFill="1" applyBorder="1" applyProtection="1">
      <alignment/>
      <protection/>
    </xf>
    <xf numFmtId="183" fontId="17" fillId="35" borderId="8" xfId="80" applyNumberFormat="1" applyFont="1" applyFill="1" applyBorder="1" applyAlignment="1" applyProtection="1">
      <alignment horizontal="right" vertical="center" wrapText="1"/>
      <protection locked="0"/>
    </xf>
    <xf numFmtId="10" fontId="17" fillId="0" borderId="8" xfId="80" applyNumberFormat="1" applyFont="1" applyFill="1" applyBorder="1" applyAlignment="1" applyProtection="1">
      <alignment horizontal="right" vertical="center" wrapText="1"/>
      <protection/>
    </xf>
    <xf numFmtId="10" fontId="15" fillId="0" borderId="0" xfId="80" applyNumberFormat="1" applyFont="1" applyFill="1" applyBorder="1" applyAlignment="1" applyProtection="1">
      <alignment/>
      <protection/>
    </xf>
    <xf numFmtId="0" fontId="15" fillId="0" borderId="0" xfId="80" applyNumberFormat="1" applyFont="1" applyFill="1" applyBorder="1" applyAlignment="1" applyProtection="1">
      <alignment/>
      <protection/>
    </xf>
    <xf numFmtId="4" fontId="17" fillId="0" borderId="8" xfId="74" applyNumberFormat="1" applyFont="1" applyFill="1" applyBorder="1" applyAlignment="1" applyProtection="1">
      <alignment horizontal="right" vertical="center"/>
      <protection locked="0"/>
    </xf>
    <xf numFmtId="2" fontId="17" fillId="0" borderId="8" xfId="74" applyNumberFormat="1" applyFont="1" applyFill="1" applyBorder="1" applyAlignment="1" applyProtection="1">
      <alignment horizontal="right" vertical="center"/>
      <protection locked="0"/>
    </xf>
    <xf numFmtId="2" fontId="17" fillId="0" borderId="8" xfId="16" applyNumberFormat="1" applyFont="1" applyFill="1" applyBorder="1" applyProtection="1">
      <alignment/>
      <protection/>
    </xf>
    <xf numFmtId="0" fontId="18" fillId="0" borderId="8" xfId="74" applyFont="1" applyBorder="1" applyAlignment="1">
      <alignment/>
      <protection/>
    </xf>
    <xf numFmtId="4" fontId="17" fillId="0" borderId="8" xfId="74" applyNumberFormat="1" applyFont="1" applyFill="1" applyBorder="1" applyAlignment="1" applyProtection="1">
      <alignment horizontal="right" vertical="center"/>
      <protection/>
    </xf>
    <xf numFmtId="2" fontId="17" fillId="0" borderId="8" xfId="74" applyNumberFormat="1" applyFont="1" applyFill="1" applyBorder="1" applyAlignment="1" applyProtection="1">
      <alignment horizontal="right" vertical="center"/>
      <protection/>
    </xf>
    <xf numFmtId="0" fontId="17" fillId="0" borderId="8" xfId="74" applyNumberFormat="1" applyFont="1" applyFill="1" applyBorder="1" applyAlignment="1" applyProtection="1">
      <alignment vertical="center" wrapText="1"/>
      <protection/>
    </xf>
    <xf numFmtId="4" fontId="17" fillId="0" borderId="8" xfId="74" applyNumberFormat="1" applyFont="1" applyFill="1" applyBorder="1" applyAlignment="1" applyProtection="1">
      <alignment horizontal="right" vertical="center" wrapText="1"/>
      <protection/>
    </xf>
    <xf numFmtId="0" fontId="18" fillId="0" borderId="18" xfId="16" applyNumberFormat="1" applyFont="1" applyBorder="1" applyAlignment="1" applyProtection="1">
      <alignment horizontal="left" wrapText="1" indent="1"/>
      <protection/>
    </xf>
    <xf numFmtId="0" fontId="18" fillId="0" borderId="18" xfId="16" applyNumberFormat="1" applyFont="1" applyBorder="1" applyAlignment="1" applyProtection="1">
      <alignment horizontal="left" indent="1"/>
      <protection/>
    </xf>
    <xf numFmtId="0" fontId="28" fillId="0" borderId="8" xfId="74" applyNumberFormat="1" applyFont="1" applyFill="1" applyBorder="1" applyAlignment="1" applyProtection="1">
      <alignment horizontal="center" vertical="center"/>
      <protection/>
    </xf>
    <xf numFmtId="0" fontId="28" fillId="0" borderId="18" xfId="74" applyNumberFormat="1" applyFont="1" applyFill="1" applyBorder="1" applyProtection="1">
      <alignment/>
      <protection/>
    </xf>
    <xf numFmtId="2" fontId="28" fillId="0" borderId="8" xfId="74" applyNumberFormat="1" applyFont="1" applyFill="1" applyBorder="1" applyAlignment="1" applyProtection="1">
      <alignment horizontal="right" vertical="center"/>
      <protection/>
    </xf>
    <xf numFmtId="4" fontId="28" fillId="0" borderId="8" xfId="74" applyNumberFormat="1" applyFont="1" applyFill="1" applyBorder="1" applyAlignment="1" applyProtection="1">
      <alignment horizontal="right" vertical="center"/>
      <protection/>
    </xf>
    <xf numFmtId="2" fontId="28" fillId="0" borderId="8" xfId="74" applyNumberFormat="1" applyFont="1" applyFill="1" applyBorder="1" applyAlignment="1" applyProtection="1">
      <alignment horizontal="right"/>
      <protection/>
    </xf>
    <xf numFmtId="0" fontId="17" fillId="0" borderId="8" xfId="74" applyNumberFormat="1" applyFont="1" applyFill="1" applyBorder="1" applyAlignment="1" applyProtection="1">
      <alignment horizontal="left" vertical="center" wrapText="1" indent="2"/>
      <protection/>
    </xf>
    <xf numFmtId="4" fontId="17" fillId="0" borderId="8" xfId="94" applyNumberFormat="1" applyFont="1" applyFill="1" applyBorder="1" applyAlignment="1" applyProtection="1">
      <alignment horizontal="right" vertical="center"/>
      <protection locked="0"/>
    </xf>
    <xf numFmtId="4" fontId="17" fillId="35" borderId="8" xfId="94" applyNumberFormat="1" applyFont="1" applyFill="1" applyBorder="1" applyAlignment="1" applyProtection="1">
      <alignment horizontal="right" vertical="center" wrapText="1"/>
      <protection locked="0"/>
    </xf>
    <xf numFmtId="0" fontId="17" fillId="0" borderId="8" xfId="74" applyNumberFormat="1" applyFont="1" applyFill="1" applyBorder="1" applyAlignment="1" applyProtection="1">
      <alignment horizontal="left" indent="2"/>
      <protection/>
    </xf>
    <xf numFmtId="2" fontId="17" fillId="35" borderId="8" xfId="94" applyNumberFormat="1" applyFont="1" applyFill="1" applyBorder="1" applyAlignment="1" applyProtection="1">
      <alignment horizontal="right" vertical="center"/>
      <protection locked="0"/>
    </xf>
    <xf numFmtId="0" fontId="17" fillId="0" borderId="8" xfId="74" applyNumberFormat="1" applyFont="1" applyFill="1" applyBorder="1" applyAlignment="1" applyProtection="1">
      <alignment horizontal="left" vertical="center" wrapText="1" indent="1"/>
      <protection/>
    </xf>
    <xf numFmtId="14" fontId="17" fillId="0" borderId="8" xfId="74" applyNumberFormat="1" applyFont="1" applyFill="1" applyBorder="1" applyAlignment="1" applyProtection="1">
      <alignment horizontal="center" vertical="center"/>
      <protection/>
    </xf>
    <xf numFmtId="14" fontId="28" fillId="0" borderId="8" xfId="74" applyNumberFormat="1" applyFont="1" applyFill="1" applyBorder="1" applyAlignment="1" applyProtection="1">
      <alignment horizontal="center" vertical="center"/>
      <protection/>
    </xf>
    <xf numFmtId="0" fontId="28" fillId="0" borderId="8" xfId="74" applyNumberFormat="1" applyFont="1" applyFill="1" applyBorder="1" applyAlignment="1" applyProtection="1">
      <alignment horizontal="left" vertical="center" wrapText="1" indent="1"/>
      <protection/>
    </xf>
    <xf numFmtId="0" fontId="28" fillId="0" borderId="8" xfId="74" applyNumberFormat="1" applyFont="1" applyFill="1" applyBorder="1" applyAlignment="1" applyProtection="1">
      <alignment horizontal="center" vertical="center" wrapText="1"/>
      <protection/>
    </xf>
    <xf numFmtId="0" fontId="28" fillId="0" borderId="8" xfId="74" applyNumberFormat="1" applyFont="1" applyFill="1" applyBorder="1" applyProtection="1">
      <alignment/>
      <protection/>
    </xf>
    <xf numFmtId="0" fontId="28" fillId="0" borderId="8" xfId="74" applyNumberFormat="1" applyFont="1" applyFill="1" applyBorder="1" applyAlignment="1" applyProtection="1">
      <alignment horizontal="justify" vertical="center" wrapText="1"/>
      <protection/>
    </xf>
    <xf numFmtId="2" fontId="28" fillId="0" borderId="8" xfId="74" applyNumberFormat="1" applyFont="1" applyFill="1" applyBorder="1" applyAlignment="1" applyProtection="1">
      <alignment horizontal="right" vertical="center" wrapText="1"/>
      <protection/>
    </xf>
    <xf numFmtId="4" fontId="28" fillId="0" borderId="8" xfId="74" applyNumberFormat="1" applyFont="1" applyFill="1" applyBorder="1" applyAlignment="1" applyProtection="1">
      <alignment horizontal="right" vertical="center" wrapText="1"/>
      <protection/>
    </xf>
    <xf numFmtId="2" fontId="28" fillId="0" borderId="8" xfId="74" applyNumberFormat="1" applyFont="1" applyFill="1" applyBorder="1" applyAlignment="1" applyProtection="1">
      <alignment horizontal="right" vertical="center" wrapText="1"/>
      <protection/>
    </xf>
    <xf numFmtId="2" fontId="28" fillId="0" borderId="8" xfId="74" applyNumberFormat="1" applyFont="1" applyFill="1" applyBorder="1" applyAlignment="1" applyProtection="1">
      <alignment vertical="center" wrapText="1"/>
      <protection/>
    </xf>
    <xf numFmtId="10" fontId="17" fillId="0" borderId="0" xfId="80" applyNumberFormat="1" applyFont="1" applyFill="1" applyBorder="1" applyAlignment="1" applyProtection="1">
      <alignment/>
      <protection/>
    </xf>
    <xf numFmtId="0" fontId="28" fillId="0" borderId="8" xfId="74" applyNumberFormat="1" applyFont="1" applyFill="1" applyBorder="1" applyAlignment="1" applyProtection="1">
      <alignment horizontal="left" vertical="center" wrapText="1"/>
      <protection/>
    </xf>
    <xf numFmtId="2" fontId="28" fillId="35" borderId="8" xfId="74" applyNumberFormat="1" applyFont="1" applyFill="1" applyBorder="1" applyAlignment="1" applyProtection="1">
      <alignment horizontal="right" vertical="center" wrapText="1"/>
      <protection locked="0"/>
    </xf>
    <xf numFmtId="4" fontId="28" fillId="35" borderId="8" xfId="74" applyNumberFormat="1" applyFont="1" applyFill="1" applyBorder="1" applyAlignment="1" applyProtection="1">
      <alignment horizontal="right" vertical="center" wrapText="1"/>
      <protection locked="0"/>
    </xf>
    <xf numFmtId="0" fontId="29" fillId="0" borderId="8" xfId="74" applyNumberFormat="1" applyFont="1" applyFill="1" applyBorder="1" applyAlignment="1" applyProtection="1">
      <alignment horizontal="center" vertical="center" wrapText="1"/>
      <protection/>
    </xf>
    <xf numFmtId="0" fontId="29" fillId="0" borderId="8" xfId="74" applyNumberFormat="1" applyFont="1" applyFill="1" applyBorder="1" applyAlignment="1" applyProtection="1">
      <alignment horizontal="left" vertical="center" wrapText="1"/>
      <protection/>
    </xf>
    <xf numFmtId="2" fontId="29" fillId="35" borderId="8" xfId="74" applyNumberFormat="1" applyFont="1" applyFill="1" applyBorder="1" applyAlignment="1" applyProtection="1">
      <alignment horizontal="right" vertical="center" wrapText="1"/>
      <protection locked="0"/>
    </xf>
    <xf numFmtId="4" fontId="29" fillId="35" borderId="8" xfId="74" applyNumberFormat="1" applyFont="1" applyFill="1" applyBorder="1" applyAlignment="1" applyProtection="1">
      <alignment horizontal="right" vertical="center" wrapText="1"/>
      <protection locked="0"/>
    </xf>
    <xf numFmtId="166" fontId="29" fillId="35" borderId="8" xfId="74" applyNumberFormat="1" applyFont="1" applyFill="1" applyBorder="1" applyAlignment="1" applyProtection="1">
      <alignment horizontal="right" vertical="center" wrapText="1"/>
      <protection locked="0"/>
    </xf>
    <xf numFmtId="49" fontId="17" fillId="0" borderId="8" xfId="74" applyNumberFormat="1" applyFont="1" applyFill="1" applyBorder="1" applyAlignment="1" applyProtection="1">
      <alignment vertical="top" wrapText="1"/>
      <protection locked="0"/>
    </xf>
    <xf numFmtId="4" fontId="17" fillId="0" borderId="8" xfId="16" applyNumberFormat="1" applyFont="1" applyFill="1" applyBorder="1" applyProtection="1">
      <alignment/>
      <protection locked="0"/>
    </xf>
    <xf numFmtId="4" fontId="17" fillId="35" borderId="8" xfId="74" applyNumberFormat="1" applyFont="1" applyFill="1" applyBorder="1" applyAlignment="1" applyProtection="1">
      <alignment horizontal="right" vertical="center"/>
      <protection locked="0"/>
    </xf>
    <xf numFmtId="4" fontId="17" fillId="35" borderId="8" xfId="74" applyNumberFormat="1" applyFont="1" applyFill="1" applyBorder="1" applyAlignment="1" applyProtection="1">
      <alignment horizontal="right" vertical="center" wrapText="1"/>
      <protection locked="0"/>
    </xf>
    <xf numFmtId="4" fontId="30" fillId="0" borderId="8" xfId="74" applyNumberFormat="1" applyFont="1" applyFill="1" applyBorder="1" applyAlignment="1" applyProtection="1">
      <alignment vertical="top" wrapText="1"/>
      <protection locked="0"/>
    </xf>
    <xf numFmtId="0" fontId="31" fillId="0" borderId="8" xfId="74" applyNumberFormat="1" applyFont="1" applyFill="1" applyBorder="1" applyAlignment="1" applyProtection="1">
      <alignment horizontal="center" vertical="center"/>
      <protection/>
    </xf>
    <xf numFmtId="49" fontId="32" fillId="0" borderId="8" xfId="74" applyNumberFormat="1" applyFont="1" applyFill="1" applyBorder="1" applyAlignment="1" applyProtection="1">
      <alignment vertical="top" wrapText="1"/>
      <protection locked="0"/>
    </xf>
    <xf numFmtId="0" fontId="17" fillId="0" borderId="8" xfId="74" applyNumberFormat="1" applyFont="1" applyFill="1" applyBorder="1" applyAlignment="1" applyProtection="1">
      <alignment vertical="top" wrapText="1"/>
      <protection/>
    </xf>
    <xf numFmtId="2" fontId="17" fillId="0" borderId="8" xfId="16" applyNumberFormat="1" applyFont="1" applyFill="1" applyBorder="1" applyProtection="1">
      <alignment/>
      <protection locked="0"/>
    </xf>
    <xf numFmtId="4" fontId="17" fillId="35" borderId="8" xfId="16" applyNumberFormat="1" applyFont="1" applyFill="1" applyBorder="1" applyAlignment="1" applyProtection="1">
      <alignment horizontal="right" vertical="center"/>
      <protection locked="0"/>
    </xf>
    <xf numFmtId="4" fontId="17" fillId="0" borderId="8" xfId="16" applyNumberFormat="1" applyFont="1" applyFill="1" applyBorder="1" applyAlignment="1" applyProtection="1">
      <alignment horizontal="right" vertical="center"/>
      <protection locked="0"/>
    </xf>
    <xf numFmtId="2" fontId="18" fillId="35" borderId="8" xfId="94" applyNumberFormat="1" applyFont="1" applyFill="1" applyBorder="1" applyAlignment="1" applyProtection="1">
      <alignment horizontal="right" vertical="center"/>
      <protection locked="0"/>
    </xf>
    <xf numFmtId="0" fontId="17" fillId="0" borderId="8" xfId="16" applyNumberFormat="1" applyFont="1" applyFill="1" applyBorder="1" applyProtection="1">
      <alignment/>
      <protection locked="0"/>
    </xf>
    <xf numFmtId="0" fontId="15" fillId="0" borderId="0" xfId="16" applyNumberFormat="1" applyFont="1" applyFill="1" applyBorder="1" applyAlignment="1" applyProtection="1">
      <alignment horizontal="center" vertical="center"/>
      <protection/>
    </xf>
    <xf numFmtId="2" fontId="15" fillId="0" borderId="0" xfId="16" applyNumberFormat="1" applyFont="1" applyFill="1" applyBorder="1" applyProtection="1">
      <alignment/>
      <protection/>
    </xf>
    <xf numFmtId="0" fontId="33" fillId="0" borderId="0" xfId="16" applyNumberFormat="1" applyFont="1" applyFill="1" applyBorder="1" applyAlignment="1" applyProtection="1">
      <alignment horizontal="center" vertical="center"/>
      <protection/>
    </xf>
    <xf numFmtId="0" fontId="34" fillId="0" borderId="0" xfId="16" applyFont="1" applyAlignment="1" applyProtection="1">
      <alignment horizontal="right"/>
      <protection/>
    </xf>
    <xf numFmtId="0" fontId="33" fillId="0" borderId="0" xfId="16" applyFont="1" applyFill="1" applyAlignment="1" applyProtection="1">
      <alignment horizontal="center"/>
      <protection locked="0"/>
    </xf>
    <xf numFmtId="0" fontId="33" fillId="0" borderId="0" xfId="16" applyFont="1" applyFill="1" applyAlignment="1">
      <alignment horizontal="center"/>
      <protection/>
    </xf>
    <xf numFmtId="0" fontId="33" fillId="0" borderId="0" xfId="16" applyNumberFormat="1" applyFont="1" applyFill="1" applyBorder="1" applyProtection="1">
      <alignment/>
      <protection/>
    </xf>
    <xf numFmtId="0" fontId="35" fillId="0" borderId="0" xfId="16" applyNumberFormat="1" applyFont="1" applyFill="1" applyBorder="1" applyAlignment="1" applyProtection="1">
      <alignment horizontal="center" vertical="center"/>
      <protection/>
    </xf>
    <xf numFmtId="0" fontId="36" fillId="0" borderId="0" xfId="16" applyFont="1" applyFill="1" applyProtection="1">
      <alignment/>
      <protection/>
    </xf>
    <xf numFmtId="0" fontId="35" fillId="0" borderId="0" xfId="16" applyFont="1" applyFill="1" applyAlignment="1" applyProtection="1">
      <alignment horizontal="center"/>
      <protection locked="0"/>
    </xf>
    <xf numFmtId="0" fontId="35" fillId="0" borderId="0" xfId="16" applyFont="1" applyFill="1" applyAlignment="1">
      <alignment horizontal="center"/>
      <protection/>
    </xf>
    <xf numFmtId="4" fontId="36" fillId="0" borderId="0" xfId="16" applyNumberFormat="1" applyFont="1" applyFill="1" applyAlignment="1" applyProtection="1">
      <alignment horizontal="center"/>
      <protection locked="0"/>
    </xf>
    <xf numFmtId="2" fontId="36" fillId="0" borderId="0" xfId="16" applyNumberFormat="1" applyFont="1" applyFill="1" applyBorder="1" applyProtection="1">
      <alignment/>
      <protection locked="0"/>
    </xf>
    <xf numFmtId="0" fontId="35" fillId="0" borderId="0" xfId="16" applyNumberFormat="1" applyFont="1" applyFill="1" applyBorder="1" applyProtection="1">
      <alignment/>
      <protection/>
    </xf>
    <xf numFmtId="0" fontId="33" fillId="0" borderId="0" xfId="16" applyFont="1" applyProtection="1">
      <alignment/>
      <protection/>
    </xf>
    <xf numFmtId="0" fontId="33" fillId="0" borderId="0" xfId="16" applyFont="1" applyFill="1" applyProtection="1">
      <alignment/>
      <protection locked="0"/>
    </xf>
    <xf numFmtId="0" fontId="33" fillId="0" borderId="0" xfId="16" applyFont="1" applyAlignment="1" applyProtection="1">
      <alignment horizontal="center"/>
      <protection/>
    </xf>
    <xf numFmtId="0" fontId="35" fillId="0" borderId="0" xfId="16" applyFont="1" applyProtection="1">
      <alignment/>
      <protection/>
    </xf>
    <xf numFmtId="0" fontId="35" fillId="0" borderId="0" xfId="16" applyFont="1" applyAlignment="1" applyProtection="1">
      <alignment horizontal="center"/>
      <protection/>
    </xf>
    <xf numFmtId="0" fontId="37" fillId="0" borderId="0" xfId="16" applyNumberFormat="1" applyFont="1" applyFill="1" applyBorder="1" applyProtection="1">
      <alignment/>
      <protection/>
    </xf>
    <xf numFmtId="2" fontId="23" fillId="0" borderId="14" xfId="19" applyNumberFormat="1" applyFont="1" applyFill="1" applyBorder="1" applyAlignment="1" applyProtection="1">
      <alignment horizontal="center"/>
      <protection locked="0"/>
    </xf>
    <xf numFmtId="2" fontId="38" fillId="0" borderId="0" xfId="73" applyNumberFormat="1" applyFont="1" applyFill="1" applyProtection="1">
      <alignment/>
      <protection locked="0"/>
    </xf>
    <xf numFmtId="2" fontId="38" fillId="0" borderId="0" xfId="73" applyNumberFormat="1" applyFont="1" applyFill="1">
      <alignment/>
      <protection/>
    </xf>
    <xf numFmtId="2" fontId="38" fillId="0" borderId="0" xfId="19" applyNumberFormat="1" applyFont="1" applyFill="1" applyAlignment="1" applyProtection="1">
      <alignment horizontal="right"/>
      <protection/>
    </xf>
    <xf numFmtId="2" fontId="38" fillId="0" borderId="0" xfId="73" applyNumberFormat="1" applyFont="1" applyFill="1" applyAlignment="1">
      <alignment horizontal="left"/>
      <protection/>
    </xf>
    <xf numFmtId="2" fontId="38" fillId="0" borderId="0" xfId="19" applyNumberFormat="1" applyFont="1" applyFill="1" applyBorder="1" applyProtection="1">
      <alignment/>
      <protection/>
    </xf>
    <xf numFmtId="2" fontId="39" fillId="0" borderId="15" xfId="19" applyNumberFormat="1" applyFont="1" applyFill="1" applyBorder="1" applyAlignment="1" applyProtection="1">
      <alignment horizontal="left" indent="1"/>
      <protection/>
    </xf>
    <xf numFmtId="2" fontId="40" fillId="0" borderId="16" xfId="19" applyNumberFormat="1" applyFont="1" applyFill="1" applyBorder="1" applyProtection="1">
      <alignment/>
      <protection/>
    </xf>
    <xf numFmtId="2" fontId="40" fillId="0" borderId="17" xfId="19" applyNumberFormat="1" applyFont="1" applyFill="1" applyBorder="1" applyProtection="1">
      <alignment/>
      <protection/>
    </xf>
    <xf numFmtId="2" fontId="18" fillId="0" borderId="0" xfId="19" applyNumberFormat="1" applyFont="1" applyFill="1" applyAlignment="1" applyProtection="1">
      <alignment vertical="top"/>
      <protection/>
    </xf>
    <xf numFmtId="2" fontId="24" fillId="0" borderId="0" xfId="19" applyNumberFormat="1" applyFont="1" applyFill="1" applyAlignment="1" applyProtection="1">
      <alignment vertical="top"/>
      <protection/>
    </xf>
    <xf numFmtId="2" fontId="18" fillId="0" borderId="0" xfId="19" applyNumberFormat="1" applyFont="1" applyFill="1" applyAlignment="1" applyProtection="1">
      <alignment horizontal="right"/>
      <protection locked="0"/>
    </xf>
    <xf numFmtId="2" fontId="18" fillId="0" borderId="0" xfId="19" applyNumberFormat="1" applyFont="1" applyFill="1" applyAlignment="1" applyProtection="1">
      <alignment horizontal="right"/>
      <protection/>
    </xf>
    <xf numFmtId="2" fontId="25" fillId="0" borderId="0" xfId="19" applyNumberFormat="1" applyFont="1" applyFill="1" applyAlignment="1" applyProtection="1">
      <alignment vertical="top" wrapText="1"/>
      <protection/>
    </xf>
    <xf numFmtId="2" fontId="18" fillId="0" borderId="0" xfId="19" applyNumberFormat="1" applyFont="1" applyFill="1" applyBorder="1" applyAlignment="1" applyProtection="1">
      <alignment horizontal="right"/>
      <protection locked="0"/>
    </xf>
    <xf numFmtId="2" fontId="24" fillId="0" borderId="20" xfId="74" applyNumberFormat="1" applyFont="1" applyFill="1" applyBorder="1" applyAlignment="1" applyProtection="1">
      <alignment horizontal="center" vertical="center" wrapText="1"/>
      <protection/>
    </xf>
    <xf numFmtId="2" fontId="18" fillId="0" borderId="8" xfId="19" applyNumberFormat="1" applyFont="1" applyFill="1" applyBorder="1" applyProtection="1">
      <alignment/>
      <protection/>
    </xf>
    <xf numFmtId="2" fontId="18" fillId="0" borderId="0" xfId="19" applyNumberFormat="1" applyFont="1" applyFill="1" applyBorder="1" applyProtection="1">
      <alignment/>
      <protection/>
    </xf>
    <xf numFmtId="2" fontId="24" fillId="0" borderId="21" xfId="74" applyNumberFormat="1" applyFont="1" applyFill="1" applyBorder="1" applyAlignment="1" applyProtection="1">
      <alignment horizontal="center" vertical="center" wrapText="1"/>
      <protection/>
    </xf>
    <xf numFmtId="2" fontId="24" fillId="0" borderId="22" xfId="74" applyNumberFormat="1" applyFont="1" applyFill="1" applyBorder="1" applyAlignment="1" applyProtection="1">
      <alignment horizontal="center" vertical="center" wrapText="1"/>
      <protection/>
    </xf>
    <xf numFmtId="1" fontId="18" fillId="0" borderId="0" xfId="19" applyNumberFormat="1" applyFont="1" applyFill="1" applyBorder="1" applyProtection="1">
      <alignment/>
      <protection/>
    </xf>
    <xf numFmtId="1" fontId="24" fillId="0" borderId="8" xfId="74" applyNumberFormat="1" applyFont="1" applyFill="1" applyBorder="1" applyAlignment="1" applyProtection="1">
      <alignment horizontal="center" vertical="center"/>
      <protection/>
    </xf>
    <xf numFmtId="1" fontId="24" fillId="0" borderId="8" xfId="19" applyNumberFormat="1" applyFont="1" applyFill="1" applyBorder="1" applyAlignment="1" applyProtection="1">
      <alignment horizontal="center"/>
      <protection/>
    </xf>
    <xf numFmtId="1" fontId="18" fillId="0" borderId="8" xfId="19" applyNumberFormat="1" applyFont="1" applyFill="1" applyBorder="1" applyAlignment="1" applyProtection="1">
      <alignment horizontal="center"/>
      <protection/>
    </xf>
    <xf numFmtId="1" fontId="18" fillId="0" borderId="8" xfId="19" applyNumberFormat="1" applyFont="1" applyFill="1" applyBorder="1" applyProtection="1">
      <alignment/>
      <protection/>
    </xf>
    <xf numFmtId="2" fontId="38" fillId="0" borderId="8" xfId="74" applyNumberFormat="1" applyFont="1" applyFill="1" applyBorder="1" applyAlignment="1" applyProtection="1">
      <alignment horizontal="center" vertical="center"/>
      <protection/>
    </xf>
    <xf numFmtId="2" fontId="38" fillId="0" borderId="18" xfId="74" applyNumberFormat="1" applyFont="1" applyFill="1" applyBorder="1" applyProtection="1">
      <alignment/>
      <protection/>
    </xf>
    <xf numFmtId="2" fontId="38" fillId="0" borderId="8" xfId="74" applyNumberFormat="1" applyFont="1" applyFill="1" applyBorder="1" applyAlignment="1" applyProtection="1">
      <alignment horizontal="right" vertical="center" wrapText="1"/>
      <protection locked="0"/>
    </xf>
    <xf numFmtId="2" fontId="43" fillId="0" borderId="8" xfId="93" applyNumberFormat="1" applyFont="1" applyFill="1" applyBorder="1" applyAlignment="1" applyProtection="1">
      <alignment horizontal="right" vertical="center" wrapText="1"/>
      <protection locked="0"/>
    </xf>
    <xf numFmtId="2" fontId="38" fillId="0" borderId="8" xfId="19" applyNumberFormat="1" applyFont="1" applyFill="1" applyBorder="1" applyAlignment="1" applyProtection="1">
      <alignment horizontal="right" vertical="center" wrapText="1"/>
      <protection locked="0"/>
    </xf>
    <xf numFmtId="4" fontId="38" fillId="0" borderId="8" xfId="19" applyNumberFormat="1" applyFont="1" applyFill="1" applyBorder="1" applyAlignment="1" applyProtection="1">
      <alignment horizontal="right" vertical="center" wrapText="1"/>
      <protection/>
    </xf>
    <xf numFmtId="10" fontId="38" fillId="0" borderId="8" xfId="81" applyNumberFormat="1" applyFont="1" applyFill="1" applyBorder="1" applyAlignment="1" applyProtection="1">
      <alignment/>
      <protection/>
    </xf>
    <xf numFmtId="2" fontId="38" fillId="0" borderId="8" xfId="19" applyNumberFormat="1" applyFont="1" applyFill="1" applyBorder="1" applyProtection="1">
      <alignment/>
      <protection/>
    </xf>
    <xf numFmtId="2" fontId="38" fillId="0" borderId="8" xfId="93" applyNumberFormat="1" applyFont="1" applyFill="1" applyBorder="1" applyAlignment="1" applyProtection="1">
      <alignment horizontal="right" vertical="center" wrapText="1"/>
      <protection locked="0"/>
    </xf>
    <xf numFmtId="2" fontId="38" fillId="0" borderId="18" xfId="74" applyNumberFormat="1" applyFont="1" applyFill="1" applyBorder="1" applyAlignment="1" applyProtection="1">
      <alignment wrapText="1"/>
      <protection/>
    </xf>
    <xf numFmtId="2" fontId="38" fillId="0" borderId="8" xfId="74" applyNumberFormat="1" applyFont="1" applyFill="1" applyBorder="1" applyAlignment="1" applyProtection="1">
      <alignment horizontal="right" vertical="center" wrapText="1"/>
      <protection/>
    </xf>
    <xf numFmtId="4" fontId="38" fillId="0" borderId="8" xfId="74" applyNumberFormat="1" applyFont="1" applyFill="1" applyBorder="1" applyAlignment="1" applyProtection="1">
      <alignment horizontal="right" vertical="center" wrapText="1"/>
      <protection/>
    </xf>
    <xf numFmtId="2" fontId="23" fillId="0" borderId="8" xfId="19" applyNumberFormat="1" applyFont="1" applyFill="1" applyBorder="1" applyProtection="1">
      <alignment/>
      <protection/>
    </xf>
    <xf numFmtId="2" fontId="23" fillId="0" borderId="0" xfId="19" applyNumberFormat="1" applyFont="1" applyFill="1" applyBorder="1" applyProtection="1">
      <alignment/>
      <protection/>
    </xf>
    <xf numFmtId="2" fontId="38" fillId="0" borderId="18" xfId="74" applyNumberFormat="1" applyFont="1" applyFill="1" applyBorder="1" applyAlignment="1" applyProtection="1">
      <alignment horizontal="left" indent="1"/>
      <protection/>
    </xf>
    <xf numFmtId="4" fontId="38" fillId="0" borderId="8" xfId="93" applyNumberFormat="1" applyFont="1" applyFill="1" applyBorder="1" applyAlignment="1" applyProtection="1">
      <alignment horizontal="right" vertical="center" wrapText="1"/>
      <protection locked="0"/>
    </xf>
    <xf numFmtId="2" fontId="38" fillId="0" borderId="8" xfId="74" applyNumberFormat="1" applyFont="1" applyFill="1" applyBorder="1" applyAlignment="1" applyProtection="1">
      <alignment horizontal="center" vertical="center" wrapText="1"/>
      <protection/>
    </xf>
    <xf numFmtId="2" fontId="38" fillId="0" borderId="18" xfId="74" applyNumberFormat="1" applyFont="1" applyFill="1" applyBorder="1" applyAlignment="1" applyProtection="1">
      <alignment horizontal="left" vertical="center" wrapText="1" indent="1"/>
      <protection/>
    </xf>
    <xf numFmtId="4" fontId="38" fillId="0" borderId="8" xfId="74" applyNumberFormat="1" applyFont="1" applyFill="1" applyBorder="1" applyAlignment="1" applyProtection="1">
      <alignment horizontal="right" vertical="center" wrapText="1"/>
      <protection locked="0"/>
    </xf>
    <xf numFmtId="2" fontId="38" fillId="0" borderId="8" xfId="74" applyNumberFormat="1" applyFont="1" applyFill="1" applyBorder="1" applyAlignment="1" applyProtection="1">
      <alignment wrapText="1"/>
      <protection/>
    </xf>
    <xf numFmtId="2" fontId="38" fillId="0" borderId="8" xfId="74" applyNumberFormat="1" applyFont="1" applyFill="1" applyBorder="1" applyAlignment="1" applyProtection="1">
      <alignment horizontal="left" wrapText="1" indent="1"/>
      <protection/>
    </xf>
    <xf numFmtId="4" fontId="38" fillId="0" borderId="8" xfId="19" applyNumberFormat="1" applyFont="1" applyFill="1" applyBorder="1" applyAlignment="1" applyProtection="1">
      <alignment horizontal="right" vertical="center" wrapText="1"/>
      <protection locked="0"/>
    </xf>
    <xf numFmtId="2" fontId="38" fillId="0" borderId="8" xfId="74" applyNumberFormat="1" applyFont="1" applyFill="1" applyBorder="1" applyProtection="1">
      <alignment/>
      <protection/>
    </xf>
    <xf numFmtId="4" fontId="38" fillId="0" borderId="8" xfId="93" applyNumberFormat="1" applyFont="1" applyFill="1" applyBorder="1" applyAlignment="1" applyProtection="1">
      <alignment horizontal="right" vertical="center" wrapText="1"/>
      <protection/>
    </xf>
    <xf numFmtId="2" fontId="38" fillId="0" borderId="8" xfId="74" applyNumberFormat="1" applyFont="1" applyFill="1" applyBorder="1" applyAlignment="1" applyProtection="1">
      <alignment horizontal="left" vertical="center" wrapText="1"/>
      <protection/>
    </xf>
    <xf numFmtId="2" fontId="38" fillId="0" borderId="8" xfId="93" applyNumberFormat="1" applyFont="1" applyFill="1" applyBorder="1" applyAlignment="1" applyProtection="1">
      <alignment horizontal="right" vertical="center" wrapText="1"/>
      <protection/>
    </xf>
    <xf numFmtId="2" fontId="38" fillId="0" borderId="18" xfId="74" applyNumberFormat="1" applyFont="1" applyFill="1" applyBorder="1" applyAlignment="1" applyProtection="1">
      <alignment horizontal="left" vertical="center" wrapText="1"/>
      <protection/>
    </xf>
    <xf numFmtId="2" fontId="38" fillId="0" borderId="8" xfId="81" applyNumberFormat="1" applyFont="1" applyFill="1" applyBorder="1" applyAlignment="1" applyProtection="1">
      <alignment horizontal="right" vertical="center" wrapText="1"/>
      <protection/>
    </xf>
    <xf numFmtId="2" fontId="38" fillId="0" borderId="8" xfId="81" applyNumberFormat="1" applyFont="1" applyFill="1" applyBorder="1" applyAlignment="1" applyProtection="1">
      <alignment horizontal="right" vertical="center" wrapText="1"/>
      <protection locked="0"/>
    </xf>
    <xf numFmtId="166" fontId="38" fillId="0" borderId="0" xfId="19" applyNumberFormat="1" applyFont="1" applyFill="1" applyBorder="1" applyProtection="1">
      <alignment/>
      <protection/>
    </xf>
    <xf numFmtId="10" fontId="38" fillId="0" borderId="8" xfId="81" applyNumberFormat="1" applyFont="1" applyFill="1" applyBorder="1" applyAlignment="1" applyProtection="1">
      <alignment horizontal="right" vertical="center" wrapText="1"/>
      <protection/>
    </xf>
    <xf numFmtId="10" fontId="38" fillId="0" borderId="8" xfId="81" applyNumberFormat="1" applyFont="1" applyFill="1" applyBorder="1" applyAlignment="1" applyProtection="1">
      <alignment horizontal="right" vertical="center" wrapText="1"/>
      <protection locked="0"/>
    </xf>
    <xf numFmtId="183" fontId="38" fillId="0" borderId="8" xfId="80" applyNumberFormat="1" applyFont="1" applyFill="1" applyBorder="1" applyAlignment="1" applyProtection="1">
      <alignment horizontal="right" vertical="center" wrapText="1"/>
      <protection/>
    </xf>
    <xf numFmtId="2" fontId="38" fillId="0" borderId="0" xfId="81" applyNumberFormat="1" applyFont="1" applyFill="1" applyBorder="1" applyAlignment="1" applyProtection="1">
      <alignment/>
      <protection/>
    </xf>
    <xf numFmtId="2" fontId="38" fillId="0" borderId="8" xfId="74" applyNumberFormat="1" applyFont="1" applyFill="1" applyBorder="1" applyAlignment="1">
      <alignment horizontal="left" indent="2"/>
      <protection/>
    </xf>
    <xf numFmtId="2" fontId="38" fillId="0" borderId="8" xfId="74" applyNumberFormat="1" applyFont="1" applyFill="1" applyBorder="1" applyAlignment="1" applyProtection="1">
      <alignment vertical="center" wrapText="1"/>
      <protection/>
    </xf>
    <xf numFmtId="2" fontId="38" fillId="0" borderId="18" xfId="19" applyNumberFormat="1" applyFont="1" applyFill="1" applyBorder="1" applyAlignment="1" applyProtection="1">
      <alignment horizontal="left" wrapText="1" indent="1"/>
      <protection/>
    </xf>
    <xf numFmtId="172" fontId="38" fillId="0" borderId="8" xfId="74" applyNumberFormat="1" applyFont="1" applyFill="1" applyBorder="1" applyAlignment="1" applyProtection="1">
      <alignment horizontal="right" vertical="center" wrapText="1"/>
      <protection locked="0"/>
    </xf>
    <xf numFmtId="2" fontId="38" fillId="0" borderId="18" xfId="19" applyNumberFormat="1" applyFont="1" applyFill="1" applyBorder="1" applyAlignment="1" applyProtection="1">
      <alignment horizontal="left" indent="1"/>
      <protection/>
    </xf>
    <xf numFmtId="2" fontId="38" fillId="0" borderId="8" xfId="74" applyNumberFormat="1" applyFont="1" applyFill="1" applyBorder="1" applyAlignment="1" applyProtection="1">
      <alignment horizontal="left" indent="2"/>
      <protection/>
    </xf>
    <xf numFmtId="2" fontId="38" fillId="0" borderId="8" xfId="74" applyNumberFormat="1" applyFont="1" applyFill="1" applyBorder="1" applyAlignment="1">
      <alignment/>
      <protection/>
    </xf>
    <xf numFmtId="2" fontId="23" fillId="0" borderId="8" xfId="74" applyNumberFormat="1" applyFont="1" applyFill="1" applyBorder="1" applyAlignment="1" applyProtection="1">
      <alignment horizontal="center" vertical="center"/>
      <protection/>
    </xf>
    <xf numFmtId="2" fontId="23" fillId="0" borderId="18" xfId="74" applyNumberFormat="1" applyFont="1" applyFill="1" applyBorder="1" applyProtection="1">
      <alignment/>
      <protection/>
    </xf>
    <xf numFmtId="2" fontId="23" fillId="0" borderId="8" xfId="74" applyNumberFormat="1" applyFont="1" applyFill="1" applyBorder="1" applyAlignment="1" applyProtection="1">
      <alignment horizontal="right" vertical="center" wrapText="1"/>
      <protection/>
    </xf>
    <xf numFmtId="4" fontId="23" fillId="0" borderId="8" xfId="74" applyNumberFormat="1" applyFont="1" applyFill="1" applyBorder="1" applyAlignment="1" applyProtection="1">
      <alignment horizontal="right" vertical="center" wrapText="1"/>
      <protection/>
    </xf>
    <xf numFmtId="10" fontId="23" fillId="0" borderId="8" xfId="81" applyNumberFormat="1" applyFont="1" applyFill="1" applyBorder="1" applyAlignment="1" applyProtection="1">
      <alignment horizontal="right" vertical="center" wrapText="1"/>
      <protection/>
    </xf>
    <xf numFmtId="2" fontId="38" fillId="0" borderId="8" xfId="74" applyNumberFormat="1" applyFont="1" applyFill="1" applyBorder="1" applyAlignment="1" applyProtection="1">
      <alignment horizontal="left" vertical="center" wrapText="1" indent="2"/>
      <protection/>
    </xf>
    <xf numFmtId="2" fontId="38" fillId="0" borderId="8" xfId="74" applyNumberFormat="1" applyFont="1" applyFill="1" applyBorder="1" applyAlignment="1" applyProtection="1">
      <alignment horizontal="left" vertical="center" wrapText="1" indent="1"/>
      <protection/>
    </xf>
    <xf numFmtId="2" fontId="23" fillId="0" borderId="8" xfId="74" applyNumberFormat="1" applyFont="1" applyFill="1" applyBorder="1" applyAlignment="1" applyProtection="1">
      <alignment horizontal="center" vertical="center" wrapText="1"/>
      <protection/>
    </xf>
    <xf numFmtId="2" fontId="23" fillId="0" borderId="8" xfId="74" applyNumberFormat="1" applyFont="1" applyFill="1" applyBorder="1" applyProtection="1">
      <alignment/>
      <protection/>
    </xf>
    <xf numFmtId="2" fontId="23" fillId="0" borderId="8" xfId="74" applyNumberFormat="1" applyFont="1" applyFill="1" applyBorder="1" applyAlignment="1" applyProtection="1">
      <alignment horizontal="justify" vertical="center" wrapText="1"/>
      <protection/>
    </xf>
    <xf numFmtId="2" fontId="23" fillId="0" borderId="0" xfId="19" applyNumberFormat="1" applyFont="1" applyFill="1" applyBorder="1" applyAlignment="1" applyProtection="1">
      <alignment horizontal="right" vertical="center" wrapText="1"/>
      <protection/>
    </xf>
    <xf numFmtId="2" fontId="23" fillId="0" borderId="8" xfId="74" applyNumberFormat="1" applyFont="1" applyFill="1" applyBorder="1" applyAlignment="1" applyProtection="1">
      <alignment horizontal="left" vertical="center" wrapText="1" indent="1"/>
      <protection/>
    </xf>
    <xf numFmtId="2" fontId="23" fillId="0" borderId="8" xfId="74" applyNumberFormat="1" applyFont="1" applyFill="1" applyBorder="1" applyAlignment="1" applyProtection="1">
      <alignment horizontal="right" vertical="center" wrapText="1"/>
      <protection locked="0"/>
    </xf>
    <xf numFmtId="2" fontId="45" fillId="0" borderId="8" xfId="74" applyNumberFormat="1" applyFont="1" applyFill="1" applyBorder="1" applyAlignment="1" applyProtection="1">
      <alignment horizontal="center" vertical="center" wrapText="1"/>
      <protection/>
    </xf>
    <xf numFmtId="2" fontId="45" fillId="0" borderId="8" xfId="74" applyNumberFormat="1" applyFont="1" applyFill="1" applyBorder="1" applyAlignment="1" applyProtection="1">
      <alignment horizontal="left" wrapText="1" indent="1"/>
      <protection/>
    </xf>
    <xf numFmtId="2" fontId="45" fillId="0" borderId="8" xfId="74" applyNumberFormat="1" applyFont="1" applyFill="1" applyBorder="1" applyAlignment="1" applyProtection="1">
      <alignment horizontal="right" vertical="center" wrapText="1"/>
      <protection locked="0"/>
    </xf>
    <xf numFmtId="4" fontId="45" fillId="0" borderId="8" xfId="74" applyNumberFormat="1" applyFont="1" applyFill="1" applyBorder="1" applyAlignment="1" applyProtection="1">
      <alignment horizontal="right" vertical="center" wrapText="1"/>
      <protection/>
    </xf>
    <xf numFmtId="2" fontId="38" fillId="0" borderId="8" xfId="74" applyNumberFormat="1" applyFont="1" applyFill="1" applyBorder="1" applyAlignment="1" applyProtection="1">
      <alignment vertical="top" wrapText="1"/>
      <protection locked="0"/>
    </xf>
    <xf numFmtId="2" fontId="46" fillId="0" borderId="8" xfId="74" applyNumberFormat="1" applyFont="1" applyFill="1" applyBorder="1" applyAlignment="1" applyProtection="1">
      <alignment horizontal="right" vertical="center" wrapText="1"/>
      <protection locked="0"/>
    </xf>
    <xf numFmtId="2" fontId="45" fillId="0" borderId="0" xfId="19" applyNumberFormat="1" applyFont="1" applyFill="1" applyBorder="1" applyProtection="1">
      <alignment/>
      <protection/>
    </xf>
    <xf numFmtId="2" fontId="45" fillId="0" borderId="8" xfId="74" applyNumberFormat="1" applyFont="1" applyFill="1" applyBorder="1" applyAlignment="1" applyProtection="1">
      <alignment horizontal="center" vertical="center"/>
      <protection/>
    </xf>
    <xf numFmtId="2" fontId="45" fillId="0" borderId="8" xfId="74" applyNumberFormat="1" applyFont="1" applyFill="1" applyBorder="1" applyAlignment="1" applyProtection="1">
      <alignment horizontal="left" vertical="top" wrapText="1"/>
      <protection locked="0"/>
    </xf>
    <xf numFmtId="2" fontId="47" fillId="0" borderId="8" xfId="74" applyNumberFormat="1" applyFont="1" applyFill="1" applyBorder="1" applyAlignment="1" applyProtection="1">
      <alignment horizontal="right" vertical="center" wrapText="1"/>
      <protection locked="0"/>
    </xf>
    <xf numFmtId="4" fontId="45" fillId="0" borderId="8" xfId="19" applyNumberFormat="1" applyFont="1" applyFill="1" applyBorder="1" applyAlignment="1" applyProtection="1">
      <alignment horizontal="right" vertical="center" wrapText="1"/>
      <protection locked="0"/>
    </xf>
    <xf numFmtId="10" fontId="45" fillId="0" borderId="8" xfId="81" applyNumberFormat="1" applyFont="1" applyFill="1" applyBorder="1" applyAlignment="1" applyProtection="1">
      <alignment horizontal="right" vertical="center" wrapText="1"/>
      <protection/>
    </xf>
    <xf numFmtId="2" fontId="45" fillId="0" borderId="8" xfId="19" applyNumberFormat="1" applyFont="1" applyFill="1" applyBorder="1" applyProtection="1">
      <alignment/>
      <protection/>
    </xf>
    <xf numFmtId="2" fontId="38" fillId="0" borderId="8" xfId="74" applyNumberFormat="1" applyFont="1" applyFill="1" applyBorder="1" applyAlignment="1" applyProtection="1">
      <alignment vertical="top" wrapText="1"/>
      <protection/>
    </xf>
    <xf numFmtId="2" fontId="17" fillId="0" borderId="0" xfId="16" applyNumberFormat="1" applyFont="1" applyFill="1" applyBorder="1" applyAlignment="1" applyProtection="1">
      <alignment horizontal="right" vertical="center"/>
      <protection/>
    </xf>
    <xf numFmtId="0" fontId="17" fillId="0" borderId="0" xfId="74" applyNumberFormat="1" applyFont="1" applyFill="1" applyBorder="1" applyAlignment="1" applyProtection="1">
      <alignment horizontal="center" vertical="center"/>
      <protection/>
    </xf>
    <xf numFmtId="10" fontId="17" fillId="0" borderId="0" xfId="81" applyNumberFormat="1" applyFont="1" applyFill="1" applyBorder="1" applyAlignment="1" applyProtection="1">
      <alignment/>
      <protection/>
    </xf>
    <xf numFmtId="0" fontId="32" fillId="0" borderId="0" xfId="74" applyNumberFormat="1" applyFont="1" applyFill="1" applyBorder="1" applyAlignment="1" applyProtection="1">
      <alignment vertical="top" wrapText="1"/>
      <protection/>
    </xf>
    <xf numFmtId="164" fontId="18" fillId="0" borderId="0" xfId="93" applyNumberFormat="1" applyFont="1" applyFill="1" applyBorder="1" applyAlignment="1" applyProtection="1">
      <alignment horizontal="right" vertical="center"/>
      <protection locked="0"/>
    </xf>
    <xf numFmtId="164" fontId="17" fillId="0" borderId="0" xfId="74" applyNumberFormat="1" applyFont="1" applyFill="1" applyBorder="1" applyAlignment="1" applyProtection="1">
      <alignment horizontal="right" vertical="center" wrapText="1"/>
      <protection locked="0"/>
    </xf>
    <xf numFmtId="2" fontId="18" fillId="0" borderId="0" xfId="93" applyNumberFormat="1" applyFont="1" applyFill="1" applyBorder="1" applyAlignment="1" applyProtection="1">
      <alignment horizontal="right" vertical="center"/>
      <protection locked="0"/>
    </xf>
    <xf numFmtId="2" fontId="17" fillId="0" borderId="0" xfId="16" applyNumberFormat="1" applyFont="1" applyFill="1" applyBorder="1" applyAlignment="1" applyProtection="1">
      <alignment horizontal="right" vertical="center"/>
      <protection locked="0"/>
    </xf>
    <xf numFmtId="0" fontId="17" fillId="0" borderId="0" xfId="16" applyNumberFormat="1" applyFont="1" applyFill="1" applyBorder="1" applyProtection="1">
      <alignment/>
      <protection locked="0"/>
    </xf>
    <xf numFmtId="0" fontId="34" fillId="0" borderId="0" xfId="16" applyFont="1" applyFill="1" applyAlignment="1" applyProtection="1">
      <alignment horizontal="left"/>
      <protection/>
    </xf>
    <xf numFmtId="2" fontId="34" fillId="0" borderId="0" xfId="16" applyNumberFormat="1" applyFont="1" applyFill="1" applyAlignment="1" applyProtection="1">
      <alignment/>
      <protection locked="0"/>
    </xf>
    <xf numFmtId="0" fontId="35" fillId="0" borderId="0" xfId="16" applyFont="1" applyFill="1" applyAlignment="1" applyProtection="1">
      <alignment horizontal="center"/>
      <protection/>
    </xf>
    <xf numFmtId="0" fontId="36" fillId="0" borderId="0" xfId="16" applyFont="1" applyFill="1" applyAlignment="1">
      <alignment horizontal="center"/>
      <protection/>
    </xf>
    <xf numFmtId="2" fontId="36" fillId="0" borderId="0" xfId="16" applyNumberFormat="1" applyFont="1" applyFill="1" applyBorder="1" applyAlignment="1" applyProtection="1">
      <alignment horizontal="center"/>
      <protection locked="0"/>
    </xf>
    <xf numFmtId="4" fontId="35" fillId="0" borderId="0" xfId="16" applyNumberFormat="1" applyFont="1" applyFill="1" applyAlignment="1" applyProtection="1">
      <alignment horizontal="center"/>
      <protection locked="0"/>
    </xf>
    <xf numFmtId="2" fontId="35" fillId="0" borderId="0" xfId="19" applyNumberFormat="1" applyFont="1" applyFill="1" applyBorder="1" applyProtection="1">
      <alignment/>
      <protection/>
    </xf>
    <xf numFmtId="2" fontId="35" fillId="0" borderId="0" xfId="19" applyNumberFormat="1" applyFont="1" applyFill="1" applyBorder="1" applyAlignment="1" applyProtection="1">
      <alignment horizontal="center" vertical="center"/>
      <protection/>
    </xf>
    <xf numFmtId="2" fontId="48" fillId="0" borderId="0" xfId="19" applyNumberFormat="1" applyFont="1" applyFill="1" applyBorder="1" applyProtection="1">
      <alignment/>
      <protection/>
    </xf>
    <xf numFmtId="4" fontId="18" fillId="36" borderId="8" xfId="94" applyNumberFormat="1" applyFont="1" applyFill="1" applyBorder="1" applyAlignment="1" applyProtection="1">
      <alignment horizontal="right" vertical="center"/>
      <protection locked="0"/>
    </xf>
    <xf numFmtId="165" fontId="95" fillId="0" borderId="0" xfId="0" applyNumberFormat="1" applyFont="1" applyAlignment="1">
      <alignment/>
    </xf>
    <xf numFmtId="0" fontId="95" fillId="0" borderId="0" xfId="0" applyFont="1" applyAlignment="1">
      <alignment/>
    </xf>
    <xf numFmtId="165" fontId="93" fillId="0" borderId="0" xfId="0" applyNumberFormat="1" applyFont="1" applyAlignment="1">
      <alignment/>
    </xf>
    <xf numFmtId="165" fontId="17" fillId="35" borderId="8" xfId="74" applyNumberFormat="1" applyFont="1" applyFill="1" applyBorder="1" applyAlignment="1" applyProtection="1">
      <alignment horizontal="right" vertical="center" wrapText="1"/>
      <protection locked="0"/>
    </xf>
    <xf numFmtId="165" fontId="96" fillId="0" borderId="0" xfId="0" applyNumberFormat="1" applyFont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top" wrapText="1"/>
    </xf>
    <xf numFmtId="0" fontId="92" fillId="0" borderId="0" xfId="0" applyFont="1" applyAlignment="1">
      <alignment vertical="top" wrapText="1"/>
    </xf>
    <xf numFmtId="4" fontId="92" fillId="0" borderId="0" xfId="0" applyNumberFormat="1" applyFont="1" applyAlignment="1">
      <alignment vertical="top" wrapText="1"/>
    </xf>
    <xf numFmtId="0" fontId="91" fillId="0" borderId="0" xfId="0" applyFont="1" applyAlignment="1">
      <alignment vertical="top" wrapText="1"/>
    </xf>
    <xf numFmtId="165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8" fontId="13" fillId="0" borderId="0" xfId="0" applyNumberFormat="1" applyFont="1" applyAlignment="1">
      <alignment/>
    </xf>
    <xf numFmtId="0" fontId="98" fillId="0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5" fontId="95" fillId="0" borderId="0" xfId="0" applyNumberFormat="1" applyFont="1" applyFill="1" applyAlignment="1">
      <alignment vertical="center"/>
    </xf>
    <xf numFmtId="0" fontId="95" fillId="0" borderId="0" xfId="0" applyFont="1" applyFill="1" applyAlignment="1">
      <alignment vertical="center"/>
    </xf>
    <xf numFmtId="0" fontId="91" fillId="0" borderId="0" xfId="0" applyFont="1" applyFill="1" applyAlignment="1">
      <alignment vertical="center"/>
    </xf>
    <xf numFmtId="0" fontId="92" fillId="0" borderId="0" xfId="0" applyFont="1" applyFill="1" applyAlignment="1">
      <alignment vertical="center"/>
    </xf>
    <xf numFmtId="0" fontId="73" fillId="0" borderId="8" xfId="0" applyFont="1" applyBorder="1" applyAlignment="1">
      <alignment horizontal="center" vertical="center" wrapText="1"/>
    </xf>
    <xf numFmtId="0" fontId="73" fillId="0" borderId="8" xfId="0" applyFont="1" applyBorder="1" applyAlignment="1">
      <alignment horizontal="center" vertical="center"/>
    </xf>
    <xf numFmtId="0" fontId="73" fillId="0" borderId="8" xfId="0" applyFont="1" applyBorder="1" applyAlignment="1">
      <alignment horizontal="left" vertical="top" wrapTex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99" fillId="0" borderId="8" xfId="0" applyFont="1" applyBorder="1" applyAlignment="1">
      <alignment horizontal="right" wrapText="1"/>
    </xf>
    <xf numFmtId="0" fontId="0" fillId="0" borderId="8" xfId="0" applyFont="1" applyFill="1" applyBorder="1" applyAlignment="1">
      <alignment horizontal="right" wrapText="1"/>
    </xf>
    <xf numFmtId="0" fontId="0" fillId="0" borderId="8" xfId="0" applyFont="1" applyBorder="1" applyAlignment="1">
      <alignment horizontal="right" wrapText="1"/>
    </xf>
    <xf numFmtId="0" fontId="0" fillId="0" borderId="8" xfId="0" applyFont="1" applyBorder="1" applyAlignment="1">
      <alignment horizontal="center" vertical="center"/>
    </xf>
    <xf numFmtId="2" fontId="41" fillId="0" borderId="0" xfId="16" applyNumberFormat="1" applyFont="1" applyFill="1" applyBorder="1" applyAlignment="1" applyProtection="1">
      <alignment horizontal="center" vertical="center" wrapText="1"/>
      <protection/>
    </xf>
    <xf numFmtId="2" fontId="42" fillId="0" borderId="23" xfId="74" applyNumberFormat="1" applyFont="1" applyFill="1" applyBorder="1" applyAlignment="1" applyProtection="1">
      <alignment horizontal="center" vertical="center" textRotation="90" wrapText="1"/>
      <protection/>
    </xf>
    <xf numFmtId="2" fontId="42" fillId="0" borderId="0" xfId="74" applyNumberFormat="1" applyFont="1" applyFill="1" applyBorder="1" applyAlignment="1" applyProtection="1">
      <alignment horizontal="center" vertical="center" textRotation="90" wrapText="1"/>
      <protection/>
    </xf>
    <xf numFmtId="2" fontId="24" fillId="0" borderId="8" xfId="74" applyNumberFormat="1" applyFont="1" applyFill="1" applyBorder="1" applyAlignment="1" applyProtection="1">
      <alignment horizontal="center" vertical="center" wrapText="1"/>
      <protection/>
    </xf>
    <xf numFmtId="2" fontId="24" fillId="0" borderId="20" xfId="74" applyNumberFormat="1" applyFont="1" applyFill="1" applyBorder="1" applyAlignment="1" applyProtection="1">
      <alignment horizontal="center" vertical="center" wrapText="1"/>
      <protection/>
    </xf>
    <xf numFmtId="2" fontId="24" fillId="0" borderId="21" xfId="74" applyNumberFormat="1" applyFont="1" applyFill="1" applyBorder="1" applyAlignment="1" applyProtection="1">
      <alignment horizontal="center" vertical="center" wrapText="1"/>
      <protection/>
    </xf>
    <xf numFmtId="2" fontId="24" fillId="0" borderId="22" xfId="74" applyNumberFormat="1" applyFont="1" applyFill="1" applyBorder="1" applyAlignment="1" applyProtection="1">
      <alignment horizontal="center" vertical="center" wrapText="1"/>
      <protection/>
    </xf>
    <xf numFmtId="0" fontId="32" fillId="0" borderId="0" xfId="74" applyNumberFormat="1" applyFont="1" applyFill="1" applyBorder="1" applyAlignment="1" applyProtection="1">
      <alignment horizontal="left" vertical="top" wrapText="1"/>
      <protection/>
    </xf>
    <xf numFmtId="2" fontId="34" fillId="0" borderId="0" xfId="16" applyNumberFormat="1" applyFont="1" applyFill="1" applyAlignment="1" applyProtection="1">
      <alignment horizontal="left"/>
      <protection locked="0"/>
    </xf>
    <xf numFmtId="2" fontId="16" fillId="0" borderId="20" xfId="74" applyNumberFormat="1" applyFont="1" applyFill="1" applyBorder="1" applyAlignment="1" applyProtection="1">
      <alignment horizontal="center" vertical="center" wrapText="1"/>
      <protection/>
    </xf>
    <xf numFmtId="2" fontId="16" fillId="0" borderId="21" xfId="74" applyNumberFormat="1" applyFont="1" applyFill="1" applyBorder="1" applyAlignment="1" applyProtection="1">
      <alignment horizontal="center" vertical="center" wrapText="1"/>
      <protection/>
    </xf>
    <xf numFmtId="2" fontId="16" fillId="0" borderId="22" xfId="74" applyNumberFormat="1" applyFont="1" applyFill="1" applyBorder="1" applyAlignment="1" applyProtection="1">
      <alignment horizontal="center" vertical="center" wrapText="1"/>
      <protection/>
    </xf>
    <xf numFmtId="2" fontId="34" fillId="35" borderId="24" xfId="16" applyNumberFormat="1" applyFont="1" applyFill="1" applyBorder="1" applyAlignment="1" applyProtection="1">
      <alignment horizontal="left"/>
      <protection locked="0"/>
    </xf>
    <xf numFmtId="0" fontId="26" fillId="0" borderId="23" xfId="74" applyNumberFormat="1" applyFont="1" applyFill="1" applyBorder="1" applyAlignment="1" applyProtection="1">
      <alignment horizontal="center" vertical="center" textRotation="90" wrapText="1"/>
      <protection/>
    </xf>
    <xf numFmtId="0" fontId="26" fillId="0" borderId="0" xfId="74" applyNumberFormat="1" applyFont="1" applyFill="1" applyBorder="1" applyAlignment="1" applyProtection="1">
      <alignment horizontal="center" vertical="center" textRotation="90" wrapText="1"/>
      <protection/>
    </xf>
    <xf numFmtId="0" fontId="16" fillId="0" borderId="8" xfId="7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top"/>
    </xf>
    <xf numFmtId="0" fontId="82" fillId="0" borderId="8" xfId="0" applyFont="1" applyFill="1" applyBorder="1" applyAlignment="1">
      <alignment horizontal="center" vertical="center" wrapText="1"/>
    </xf>
    <xf numFmtId="0" fontId="73" fillId="0" borderId="8" xfId="0" applyFont="1" applyBorder="1" applyAlignment="1">
      <alignment horizontal="center" vertical="top" wrapText="1"/>
    </xf>
    <xf numFmtId="4" fontId="73" fillId="0" borderId="8" xfId="0" applyNumberFormat="1" applyFont="1" applyBorder="1" applyAlignment="1">
      <alignment horizontal="center" vertical="top" wrapText="1"/>
    </xf>
    <xf numFmtId="0" fontId="73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</cellXfs>
  <cellStyles count="85">
    <cellStyle name="Normal" xfId="0"/>
    <cellStyle name="_Инвестиционная программа" xfId="15"/>
    <cellStyle name="0,0&#13;&#10;NA&#13;&#10;" xfId="16"/>
    <cellStyle name="0,0&#13;&#10;NA&#13;&#10; 2" xfId="17"/>
    <cellStyle name="0,0&#13;&#10;NA&#13;&#10;_2._Смета_2011г._ГОУ_ВПО_НИ_ТПУ" xfId="18"/>
    <cellStyle name="0,0&#13;&#10;NA&#13;&#10;_2._Смета_2011г._ООО_Томскнефтехим_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AFE" xfId="38"/>
    <cellStyle name="Euro" xfId="39"/>
    <cellStyle name="namber" xfId="40"/>
    <cellStyle name="Normal_1st quarter 1996" xfId="41"/>
    <cellStyle name="number" xfId="42"/>
    <cellStyle name="st1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горизонтальный" xfId="54"/>
    <cellStyle name="Currency" xfId="55"/>
    <cellStyle name="Currency [0]" xfId="56"/>
    <cellStyle name="Заголовок" xfId="57"/>
    <cellStyle name="Заголовок 1" xfId="58"/>
    <cellStyle name="Заголовок 2" xfId="59"/>
    <cellStyle name="Заголовок 3" xfId="60"/>
    <cellStyle name="Заголовок 4" xfId="61"/>
    <cellStyle name="ЗаголовокСтолбца" xfId="62"/>
    <cellStyle name="Значение" xfId="63"/>
    <cellStyle name="Итог" xfId="64"/>
    <cellStyle name="Контрольная ячейка" xfId="65"/>
    <cellStyle name="Миша (бланки отчетности)" xfId="66"/>
    <cellStyle name="Название" xfId="67"/>
    <cellStyle name="Нейтральный" xfId="68"/>
    <cellStyle name="Обычный 2" xfId="69"/>
    <cellStyle name="Обычный 2 2" xfId="70"/>
    <cellStyle name="Обычный 2 3" xfId="71"/>
    <cellStyle name="Обычный 3" xfId="72"/>
    <cellStyle name="Обычный_Tarif_2002 год" xfId="73"/>
    <cellStyle name="Обычный_тарифы на 2002г с 1-01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Процентный 2" xfId="80"/>
    <cellStyle name="Процентный 3" xfId="81"/>
    <cellStyle name="Процентный 4" xfId="82"/>
    <cellStyle name="Рамки" xfId="83"/>
    <cellStyle name="Связанная ячейка" xfId="84"/>
    <cellStyle name="Стиль 1" xfId="85"/>
    <cellStyle name="Стиль 1 2" xfId="86"/>
    <cellStyle name="Текст предупреждения" xfId="87"/>
    <cellStyle name="Тысячи [0]_Баланс д.заполн" xfId="88"/>
    <cellStyle name="Тысячи_Баланс д.заполн" xfId="89"/>
    <cellStyle name="Comma" xfId="90"/>
    <cellStyle name="Comma [0]" xfId="91"/>
    <cellStyle name="Финансовый 2" xfId="92"/>
    <cellStyle name="Финансовый 3" xfId="93"/>
    <cellStyle name="Финансовый 4" xfId="94"/>
    <cellStyle name="Формула" xfId="95"/>
    <cellStyle name="ФормулаВБ" xfId="96"/>
    <cellStyle name="Хороший" xfId="97"/>
    <cellStyle name="число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bur.ru/&#1059;&#1043;&#1069;\&#1056;&#1069;&#1050;\&#1085;&#1072;%202010%20&#1075;&#1086;&#1076;\&#1069;&#1083;&#1077;&#1082;&#1090;&#1088;&#1086;&#1101;&#1085;&#1077;&#1088;&#1075;&#1080;&#1103;\&#1054;&#1054;&#1054;_&#1058;&#1086;&#1084;&#1089;&#1082;&#1085;&#1077;&#1092;&#1090;&#1077;&#1093;&#1080;&#1084;%20(&#1087;&#1088;&#1080;&#1074;&#1077;&#1079;&#1083;&#1080;%2017.12%20&#1080;&#1079;%20&#1056;&#1069;&#1050;&#1072;)\2._&#1057;&#1084;&#1077;&#1090;&#1072;_2010&#1075;._&#1054;&#1054;&#1054;_&#1058;&#1086;&#1084;&#1089;&#1082;&#1085;&#1077;&#1092;&#1090;&#1077;&#1093;&#1080;&#1084;_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lan&amp;otchet\&#1044;&#1069;&#1055;&#1080;&#1040;\&#1057;&#1074;&#1086;&#1076;.&#1101;&#1082;.%20&#1086;&#1090;&#1076;&#1077;&#1083;\&#1052;&#1072;&#1090;&#1077;&#1088;&#1080;&#1072;&#1083;&#1099;%20&#1082;%20&#1087;&#1083;&#1072;&#1085;&#1072;&#1084;%202004%20&#1075;\&#1055;&#1083;&#1072;&#1085;%20&#1085;&#1072;%204%20&#1082;&#1074;&#1072;&#1088;&#1090;&#1072;&#1083;%202004&#1075;\&#1059;&#1090;&#1086;&#1095;&#1085;%20&#1076;&#1077;&#1082;&#1072;&#1073;&#1088;&#1103;\&#1057;&#1074;&#1086;&#1076;.&#1101;&#1082;.%20&#1086;&#1090;&#1076;&#1077;&#1083;\&#1055;&#1083;&#1072;&#1085;%20&#1085;&#1072;%204%20&#1082;&#1074;&#1072;&#1088;&#1090;&#1072;&#1083;%202004&#1075;\&#1069;&#1055;%20&#1055;&#1083;&#1072;&#1085;&#1072;\&#1041;&#1102;&#1076;&#1078;&#1077;&#1090;-&#1089;&#1074;&#1086;&#1076;%20&#1044;&#1045;&#1050;&#1040;&#1041;&#1056;&#1068;%20&#1087;&#1083;&#1072;&#1085;%202004&#107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lan&amp;Otchet\&#1044;&#1069;&#1055;&#1080;&#1040;\&#1057;&#1074;&#1086;&#1076;.&#1101;&#1082;.%20&#1086;&#1090;&#1076;&#1077;&#1083;\&#1055;&#1083;&#1072;&#1085;%20&#1085;&#1072;%202%20&#1082;&#1074;-&#1083;%202002%20&#1075;\&#1055;&#1083;&#1072;&#1085;%20&#1085;&#1072;%20&#1080;&#1102;&#1085;&#1100;\&#1055;&#1083;&#1072;&#1085;\&#1058;&#1088;&#1072;&#1085;&#1089;&#1087;&#1086;&#1088;&#109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420%20r3\&#1087;&#1086;&#1095;&#1090;&#1072;\&#1047;&#1072;&#1090;&#1088;&#1072;&#1090;&#1099;%20&#1085;&#1072;%20&#1088;&#1077;&#1084;&#1086;&#1085;&#1090;%202003%20&#1075;&#1086;&#1076;\&#1047;&#1072;&#1090;&#1088;&#1072;&#1090;&#1099;%20&#1085;&#1072;%20&#1088;&#1077;&#1084;&#1086;&#1085;&#109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421r1\&#1084;&#1086;&#1080;%20&#1076;&#1086;&#1082;&#1091;&#1084;&#1077;&#1085;&#1090;\&#1083;&#1102;&#1073;&#1072;\&#1057;&#1080;&#1073;&#1091;&#1088;-&#1058;&#1102;&#1084;&#1077;&#1085;&#1100;%202002\&#1041;&#1080;&#1079;&#1085;&#1077;&#1089;%20-&#1087;&#1083;&#1072;&#1085;%20&#1085;&#1072;%202&#1087;&#1086;&#1083;&#1091;&#1075;%202002\&#1041;&#1080;&#1079;&#1085;&#1077;&#1089;-&#1087;&#1083;&#1072;&#1085;%20&#1087;&#1086;%20&#1092;&#1086;&#1088;&#1084;&#1072;&#1084;%20&#1040;&#1050;%20&#1057;&#1080;&#1073;&#1091;&#1088;\&#1041;&#1080;&#1079;&#1085;&#1077;&#1089;%20&#1087;&#1083;&#1072;&#1085;%20&#1087;&#1086;%20&#1092;&#1086;&#1088;&#1084;&#1072;&#1084;%20&#1057;&#1080;&#1073;&#1091;&#1088;&#1072;\&#1073;&#1080;&#1079;&#1085;&#1077;&#1089;%20&#1087;&#1083;&#1072;&#1085;&#1072;%20%20&#1057;&#1080;&#1073;&#1091;&#1088;-&#1058;&#1102;&#1084;&#1077;&#1085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lan&amp;Otchet\&#1044;&#1069;&#1055;&#1080;&#1040;\&#1057;&#1074;&#1086;&#1076;.&#1101;&#1082;.%20&#1086;&#1090;&#1076;&#1077;&#1083;\&#1055;&#1083;&#1072;&#1085;%20&#1085;&#1072;%203%20&#1082;&#1074;-&#1083;%202002%20&#1075;\&#1055;&#1083;&#1072;&#1085;%20&#1072;&#1074;&#1075;&#1091;&#1089;&#1090;\&#1055;&#1083;&#1072;&#1085;%20(&#1082;%20&#1091;&#1090;&#1074;)\&#1042;&#1072;&#1088;.2%20(&#1089;%20&#1059;&#1054;&#1057;)\&#1055;&#1086;&#1089;&#1083;&#1077;&#1076;&#1085;&#1080;&#1081;%20&#1074;&#1072;&#1088;(22-&#1074;&#1077;&#1095;&#1077;&#1088;)\&#1055;&#1088;&#1086;&#1077;&#1082;&#1090;%20&#1087;&#1083;&#1072;&#1085;&#1072;%20&#1087;&#1088;&#1086;&#1080;&#1079;&#1074;&#1086;&#1076;&#1089;&#1090;&#1074;&#1072;%20&#1085;&#1072;%20&#1072;&#1074;&#1075;&#1091;&#1089;&#1090;%202002%20&#1075;%20(23-07-02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lan&amp;Otchet\&#1044;&#1069;&#1055;&#1080;&#1040;\&#1057;&#1074;&#1086;&#1076;.&#1101;&#1082;.%20&#1086;&#1090;&#1076;&#1077;&#1083;\&#1055;&#1083;&#1072;&#1085;%20&#1085;&#1072;%203%20&#1082;&#1074;-&#1083;%202002%20&#1075;\&#1055;&#1083;&#1072;&#1085;%20&#1085;&#1072;%20&#1089;&#1077;&#1085;&#1090;&#1103;&#1073;&#1088;&#1100;\&#1044;&#1083;&#1103;%20&#1092;&#1080;&#1085;&#1072;&#1085;&#1089;&#1080;&#1089;&#1090;&#1086;&#1074;%20&#1087;&#1088;&#1077;&#1076;&#1074;%2015_08_02\&#1055;&#1086;&#1090;&#1086;&#1082;&#1080;%20&#1076;&#1083;&#1103;%20&#1048;.&#1041;.&#1050;&#1091;&#1088;&#1099;&#1096;&#1086;&#1074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422r4\&#1084;&#1086;&#1080;%20&#1076;&#1086;&#1082;&#1091;&#1084;&#1077;&#1085;&#1090;\&#1052;&#1086;&#1080;%20&#1076;&#1086;&#1082;&#1091;&#1084;&#1077;&#1085;&#1090;&#1099;\nadejda\&#1041;&#1102;&#1076;&#1078;&#1077;&#1090;%202002%20&#1075;&#1086;&#1076;&#1072;\&#1060;&#1086;&#1088;&#1084;&#1099;\&#1041;&#1102;&#1076;&#1078;&#1077;&#1090;%20&#1069;&#105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bur.ru/&#1059;&#1043;&#1069;\&#1050;&#1040;&#1051;&#1068;&#1050;&#1059;&#1051;&#1071;&#1062;&#1048;&#1048;%20&#1087;&#1086;%20&#1094;&#1077;&#1093;&#1072;&#1084;%20&#1059;&#1043;&#1069;\2006%20&#1075;&#1086;&#1076;\II%20&#1082;&#1074;&#1072;&#1088;&#1090;&#1072;&#1083;,%20&#1087;&#1086;&#1083;&#1091;&#1075;&#1086;&#1076;&#1080;&#1077;,%20&#1075;&#1086;&#1076;\&#1062;&#1077;&#1093;%20&#1089;&#1074;&#1103;&#1079;&#1080;%202006&#1075;(&#1085;&#1072;&#1082;&#1086;&#1087;&#1080;&#1090;&#1077;&#1083;&#1100;&#1085;&#1072;&#1103;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6;&#1040;&#1048;&#1057;&#1040;\2012\&#1053;&#1086;&#1074;&#1099;&#1077;%20&#1092;&#1086;&#1088;&#1084;&#1099;\2012-20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bur.ru/&#1059;&#1043;&#1069;\&#1056;&#1069;&#1050;\&#1085;&#1072;%202010%20&#1075;&#1086;&#1076;\&#1069;&#1083;&#1077;&#1082;&#1090;&#1088;&#1086;&#1101;&#1085;&#1077;&#1088;&#1075;&#1080;&#1103;\&#1057;&#1084;&#1077;&#1090;&#1072;%20&#1085;&#1072;%202010_&#1089;&#1086;&#1075;&#1083;&#1072;&#1089;&#1086;&#1074;&#1072;&#1085;&#1085;&#1072;&#1103;_18.12.09\2._&#1057;&#1084;&#1077;&#1090;&#1072;_2010&#1075;._&#1054;&#1054;&#1054;_&#1058;&#1086;&#1084;&#1089;&#1082;&#1085;&#1077;&#1092;&#1090;&#1077;&#1093;&#1080;&#1084;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lan&amp;otchet\&#1044;&#1069;&#1055;&#1080;&#1040;\&#1057;&#1074;&#1086;&#1076;.&#1101;&#1082;.%20&#1086;&#1090;&#1076;&#1077;&#1083;\2006&#1075;%201%20&#1082;&#1074;&#1072;&#1088;&#1090;&#1072;&#1083;\&#1060;&#1045;&#1042;&#1056;&#1040;&#1051;&#1068;\&#1041;&#1070;&#1044;&#1046;&#1045;&#1058;\&#1041;&#1070;&#1044;&#1046;&#1045;&#1058;-&#1060;&#1045;&#1042;&#1056;&#1040;&#1051;&#1068;%20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ec.tomsk.gov.ru/Documents%20and%20Settings\mkp\Local%20Settings\Temporary%20Internet%20Files\Content.IE5\6BXWPXD6\&#1040;&#1085;&#1082;&#1077;&#1090;&#1072;%20&#1080;%20&#1055;&#1088;&#1080;&#1083;&#1086;&#1078;&#1077;&#1085;&#1080;&#1103;200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bur.ru/&#1059;&#1043;&#1069;\&#1056;&#1069;&#1050;\&#1085;&#1072;%202013%20&#1075;&#1086;&#1076;\&#1069;&#1083;&#1077;&#1082;&#1090;&#1088;&#1086;&#1101;&#1085;&#1077;&#1088;&#1075;&#1080;&#1103;\2._&#1057;&#1084;&#1077;&#1090;&#1072;_2013&#1075;._&#1054;&#1054;&#1054;_&#1058;&#1086;&#1084;&#1089;&#1082;&#1085;&#1077;&#1092;&#1090;&#1077;&#1093;&#1080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PRSP\Documents%20and%20Settings\niv\Local%20Settings\Temporary%20Internet%20Files\Content.IE5\PONGRL8I\&#1052;&#1086;&#1076;&#1077;&#1083;&#1100;%20&#1060;&#1072;&#1082;&#1090;&#1086;&#1088;&#1085;&#1086;&#1075;&#1086;%20&#1072;&#1085;&#1072;&#1083;&#1080;&#1079;&#1072;_&#1096;&#1072;&#1073;&#1083;&#1086;&#1085;%20&#1089;%20&#1080;&#1089;&#1087;&#1088;&#1072;&#1074;&#1083;&#1077;&#1085;&#1080;&#1103;&#1084;&#1080;%20(&#1072;&#1079;&#1086;&#1090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wor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bur.ru/Documents%20and%20Settings\solovieva\&#1056;&#1072;&#1073;&#1086;&#1095;&#1080;&#1081;%20&#1089;&#1090;&#1086;&#1083;\&#1060;&#1072;&#1082;&#1090;&#1086;&#1088;&#1085;&#1099;&#1081;%20&#1072;&#1085;&#1072;&#1083;&#1080;&#1079;\&#1060;&#1072;&#1082;&#1090;&#1086;&#1088;&#1085;&#1099;&#1081;%20&#1072;&#1085;&#1072;&#1083;&#1080;&#1079;%201%20&#1082;&#1074;\&#1040;&#1079;&#1086;&#1090;\&#1052;&#1086;&#1076;&#1077;&#1083;&#1100;%20&#1060;&#1072;&#1082;&#1090;&#1086;&#1088;&#1085;&#1086;&#1075;&#1086;%20&#1072;&#1085;&#1072;&#1083;&#1080;&#1079;&#1072;_&#1096;&#1072;&#1073;&#1083;&#1086;&#1085;%20&#1089;%20&#1080;&#1089;&#1087;&#1088;&#1072;&#1074;&#1083;&#1077;&#1085;&#1080;&#1103;&#1084;&#1080;%20(&#1072;&#1079;&#1086;&#1090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bur.ru/Documents%20and%20Settings\mkp\Local%20Settings\Temporary%20Internet%20Files\Content.IE5\6BXWPXD6\&#1040;&#1085;&#1082;&#1077;&#1090;&#1072;%20&#1080;%20&#1055;&#1088;&#1080;&#1083;&#1086;&#1078;&#1077;&#1085;&#1080;&#1103;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76;&#1101;&#1087;&#1080;&#1072;\&#1057;&#1074;&#1086;&#1076;.&#1101;&#1082;.%20&#1086;&#1090;&#1076;&#1077;&#1083;\&#1055;&#1083;&#1072;&#1085;%20&#1085;&#1072;%201%20&#1082;&#1074;%202005%20&#1075;\&#1080;&#1079;&#1084;%20&#1052;&#1072;&#1088;&#1090;&#1072;\&#1057;&#1088;&#1072;&#1074;&#1085;&#1077;&#1085;&#1080;&#1077;%20&#1069;&#1055;%20&#1092;&#1077;&#1074;&#1088;&#1072;&#1083;&#1100;%202005&#1075;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~1\pni\LOCALS~1\Temp\bat\&#1090;&#1086;&#1073;&#1086;&#1083;&#1100;&#1089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bur.ru/&#1055;&#1060;&#1055;\2008\C&#1084;&#1077;&#1090;&#1099;%20&#1055;&#1060;&#1055;%20&#1085;&#1072;%202008%20&#1075;&#1086;&#1076;%20&#1076;&#1083;&#1103;%20&#1091;&#1090;&#1074;&#1077;&#1088;&#1078;&#1076;&#1077;&#1085;&#1080;&#1103;\&#1050;&#1072;&#1083;&#1100;&#1082;&#1091;&#1083;&#1103;&#1094;&#1080;&#1080;%20&#1076;&#1083;&#1103;%20&#1073;&#1091;&#1093;&#1075;&#1072;&#1083;&#1090;&#1077;&#1088;&#1080;&#1080;\&#1050;&#1072;&#1083;&#1100;&#1082;&#1091;&#1083;&#1103;&#1094;&#1080;&#1080;%20&#1057;&#1043;&#1069;%20&#1074;%20&#1094;&#1080;&#1082;&#1083;&#1077;%20&#1080;%20&#1094;&#1077;&#1093;&#1072;%20&#1089;&#1074;&#1103;&#1079;&#1080;%20&#1076;&#1083;&#1103;%20&#1073;&#1091;&#1093;&#1075;\1%20&#1082;&#1074;&#1072;&#1088;&#1090;&#1072;&#1083;%20&#1076;&#1083;&#1103;%20&#1088;&#1072;&#1073;&#1086;&#1090;&#1099;\&#1040;&#1050;&#1062;_1&#1082;&#1074;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потери"/>
      <sheetName val="Т.1.15."/>
      <sheetName val="На согласование"/>
      <sheetName val="1 к 1.15"/>
      <sheetName val="2 к 1.15."/>
      <sheetName val="2 к 1.15. общее кол-во"/>
      <sheetName val="4.1 к 1.15"/>
      <sheetName val="4.2 к 1.15"/>
      <sheetName val="5.1 к 1.15."/>
      <sheetName val="5.2 к 1.15."/>
      <sheetName val="5.3 к 1.15."/>
      <sheetName val="5.4 к 1.15."/>
      <sheetName val="6 к 1.15."/>
      <sheetName val="7 к 1.15."/>
      <sheetName val="8 к 1.15."/>
      <sheetName val="Т.1.16."/>
      <sheetName val="Т1.16"/>
      <sheetName val="П1.16"/>
      <sheetName val="П1.17"/>
      <sheetName val="1 к 1.17."/>
      <sheetName val="2 к 1.17."/>
      <sheetName val="1.21."/>
      <sheetName val="П1. к 1.21."/>
      <sheetName val="П2. к1.21."/>
      <sheetName val="P2.1"/>
      <sheetName val="P2.2"/>
      <sheetName val="мат.и зап. на тек.рем"/>
      <sheetName val="мат.и зап. на кап.рем"/>
      <sheetName val="расчет молока"/>
      <sheetName val="коммун.платежи"/>
      <sheetName val="ГСМ"/>
      <sheetName val="поверка приборов"/>
      <sheetName val="2008 год"/>
      <sheetName val="выплаты соц.хар"/>
      <sheetName val="#ССЫЛКА"/>
    </sheetNames>
    <sheetDataSet>
      <sheetData sheetId="0">
        <row r="3">
          <cell r="B3">
            <v>2010</v>
          </cell>
        </row>
        <row r="4">
          <cell r="B4">
            <v>2009</v>
          </cell>
        </row>
        <row r="5">
          <cell r="B5">
            <v>2008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рын.ценам"/>
      <sheetName val="по с_сти"/>
      <sheetName val="СводПоСебестоимости"/>
      <sheetName val="Список"/>
      <sheetName val="С изм.УОС"/>
      <sheetName val="Список с  изм.проц-га"/>
      <sheetName val="XLR_NoRangeSheet"/>
      <sheetName val="Список с  изм_проц_га"/>
      <sheetName val="свод_по_рын_ценам"/>
      <sheetName val="по_с_сти"/>
      <sheetName val="С_изм_УОС"/>
      <sheetName val="Список_с__изм_проц-га"/>
      <sheetName val="Список_с__изм_проц_га"/>
      <sheetName val="Cost-Data"/>
      <sheetName val="Flow-Data"/>
      <sheetName val="Invest-Data"/>
      <sheetName val="Сибур 15.11."/>
      <sheetName val="рентаб"/>
      <sheetName val="Список 1 кв."/>
      <sheetName val="Февраль реализация СОГ"/>
      <sheetName val="сент2006"/>
      <sheetName val="12-2005"/>
      <sheetName val="Карточка инвестици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2)"/>
      <sheetName val="сырье "/>
      <sheetName val="Трансп"/>
      <sheetName val="свод"/>
      <sheetName val="Лист3"/>
      <sheetName val="свод_(2)"/>
      <sheetName val="сырье_"/>
      <sheetName val="XLR_NoRangeShee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ПК и филиалы"/>
      <sheetName val="Тех.вода"/>
      <sheetName val="Питьевая вода"/>
      <sheetName val="Отопление"/>
      <sheetName val="Сброс"/>
      <sheetName val="ГПК_и_филиалы"/>
      <sheetName val="Тех_вода"/>
      <sheetName val="Питьевая_вода"/>
      <sheetName val="январь"/>
      <sheetName val="февраль"/>
      <sheetName val="март"/>
      <sheetName val="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 реализ.продукции"/>
      <sheetName val="Матер.баланс"/>
      <sheetName val="плановые показатели"/>
      <sheetName val="смета по элементам"/>
      <sheetName val="Смета по продук."/>
      <sheetName val="Общехоз"/>
      <sheetName val="Общепроизв."/>
      <sheetName val="энергия"/>
      <sheetName val="ремонты"/>
      <sheetName val="НИОКР"/>
      <sheetName val="фзп"/>
      <sheetName val="прибыль"/>
      <sheetName val="Кап.влож.Инвестиции"/>
      <sheetName val="Основ.показатели"/>
      <sheetName val="бух.баланс"/>
      <sheetName val="Отчет о прибыл,убыт."/>
      <sheetName val="бюджет"/>
      <sheetName val="операц.расходы"/>
      <sheetName val="товарная"/>
      <sheetName val="таб.3.1.1 (2)"/>
      <sheetName val="таб.3.2.1"/>
      <sheetName val="таб.3.1.3 (5)"/>
      <sheetName val="таб.3.1.3 (6)"/>
      <sheetName val="#ССЫЛКА"/>
      <sheetName val="константы"/>
      <sheetName val="себестоимость"/>
      <sheetName val="Выручка"/>
      <sheetName val="Объем_реализ_продукции"/>
      <sheetName val="Матер_баланс"/>
      <sheetName val="плановые_показатели"/>
      <sheetName val="смета_по_элементам"/>
      <sheetName val="Смета_по_продук_"/>
      <sheetName val="Общепроизв_"/>
      <sheetName val="Кап_влож_Инвестиции"/>
      <sheetName val="Основ_показатели"/>
      <sheetName val="бух_баланс"/>
      <sheetName val="Отчет_о_прибыл,убыт_"/>
      <sheetName val="операц_расходы"/>
      <sheetName val="таб_3_1_1_(2)"/>
      <sheetName val="таб_3_2_1"/>
      <sheetName val="таб_3_1_3_(5)"/>
      <sheetName val="таб_3_1_3_(6)"/>
      <sheetName val="Анкета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ырье(23 В)"/>
      <sheetName val="План (23 В)"/>
      <sheetName val="Устар"/>
      <sheetName val="сырье(23) "/>
      <sheetName val="План (23)"/>
      <sheetName val="Факт всего"/>
      <sheetName val="курс"/>
      <sheetName val="Категории"/>
      <sheetName val="сырье(23_В)"/>
      <sheetName val="План_(23_В)"/>
      <sheetName val="сырье(23)_"/>
      <sheetName val="План_(23)"/>
      <sheetName val="Факт_всего"/>
      <sheetName val="Анкета"/>
      <sheetName val="Лист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ент"/>
      <sheetName val="потоки"/>
      <sheetName val="Лист1"/>
      <sheetName val="Лист2"/>
      <sheetName val="Лист3"/>
      <sheetName val="Факт всего"/>
      <sheetName val="Цены(факт)"/>
      <sheetName val="Приложение 3"/>
      <sheetName val="Анкета"/>
      <sheetName val="Выручка"/>
      <sheetName val="финрез"/>
      <sheetName val="Цены"/>
    </sheetNames>
    <sheetDataSet>
      <sheetData sheetId="2">
        <row r="3">
          <cell r="O3">
            <v>31.56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Параметры"/>
      <sheetName val="Finance"/>
      <sheetName val="Финансы"/>
      <sheetName val="СВОД"/>
      <sheetName val="ЭП"/>
      <sheetName val="ЮНГ"/>
      <sheetName val="ДОМНГ(агент)"/>
      <sheetName val="ДОМНГ(займ)"/>
      <sheetName val="МсН"/>
      <sheetName val="МН"/>
      <sheetName val="ЮН"/>
      <sheetName val="ПрН"/>
      <sheetName val="УКСЮНГ"/>
      <sheetName val="ТН"/>
      <sheetName val="ВН"/>
      <sheetName val="СтрН"/>
      <sheetName val="ЛН"/>
      <sheetName val="УКСТН"/>
      <sheetName val="СНГ"/>
      <sheetName val="СН"/>
      <sheetName val="ПН"/>
      <sheetName val="КН"/>
      <sheetName val="ЧН"/>
      <sheetName val="БН"/>
      <sheetName val="ЭкспрессНД"/>
      <sheetName val="УКССНГ"/>
      <sheetName val="НК"/>
      <sheetName val="Манойл"/>
      <sheetName val="УКИЦ"/>
      <sheetName val="ИЦ"/>
      <sheetName val="УК"/>
      <sheetName val="ВСНК"/>
      <sheetName val="Лист2"/>
      <sheetName val="Лист3"/>
      <sheetName val="таб.3.1.1 (2)"/>
      <sheetName val="таб.3.2.1"/>
      <sheetName val="таб.3.1.3 (5)"/>
      <sheetName val="таб.3.1.3 (6)"/>
      <sheetName val="Лист1"/>
      <sheetName val="XLR_NoRangeSheet"/>
      <sheetName val="Факт всего"/>
      <sheetName val="Бюджет ЭП"/>
      <sheetName val="таб_3_1_1_(2)"/>
      <sheetName val="таб_3_2_1"/>
      <sheetName val="таб_3_1_3_(5)"/>
      <sheetName val="таб_3_1_3_(6)"/>
      <sheetName val="Факт_всего"/>
      <sheetName val="Бюджет_ЭП"/>
      <sheetName val="Лист16"/>
      <sheetName val="График"/>
      <sheetName val="точн2"/>
      <sheetName val="ст ГТМ"/>
      <sheetName val="Кальк_электроэн"/>
      <sheetName val="таЄ.3.2.1"/>
      <sheetName val="янв"/>
      <sheetName val="Бурение"/>
      <sheetName val="Общепроизводственные расход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06"/>
      <sheetName val=" февраль 06 "/>
      <sheetName val="март 06"/>
      <sheetName val="I квартал 06"/>
      <sheetName val="апрель 06"/>
      <sheetName val="май 06"/>
      <sheetName val="5 мес."/>
      <sheetName val="июнь 06"/>
      <sheetName val="2 квартал 06"/>
      <sheetName val="1 полугодие 06"/>
      <sheetName val=" июль 2006"/>
      <sheetName val="август 2006г. "/>
      <sheetName val="Сентябрь06 "/>
      <sheetName val="3 квартал 06"/>
      <sheetName val="9 месяцев 06 "/>
      <sheetName val="октябрь 06"/>
      <sheetName val="Нагрузки АОР Керамик"/>
      <sheetName val="Анкета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"/>
      <sheetName val="расчет НВВ и тарифа"/>
      <sheetName val="Отчет о совместимости"/>
    </sheetNames>
    <sheetDataSet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потери"/>
      <sheetName val="Т.1.15."/>
      <sheetName val="На согласование"/>
      <sheetName val="1 к 1.15"/>
      <sheetName val="2 к 1.15."/>
      <sheetName val="2 к 1.15. общее кол-во"/>
      <sheetName val="4.1 к 1.15"/>
      <sheetName val="4.2 к 1.15"/>
      <sheetName val="5.1 к 1.15."/>
      <sheetName val="5.2 к 1.15."/>
      <sheetName val="5.3 к 1.15."/>
      <sheetName val="5.4 к 1.15."/>
      <sheetName val="6 к 1.15."/>
      <sheetName val="7 к 1.15."/>
      <sheetName val="8 к 1.15."/>
      <sheetName val="Т.1.16."/>
      <sheetName val="Т1.16"/>
      <sheetName val="П1.16"/>
      <sheetName val="П1.17"/>
      <sheetName val="1 к 1.17."/>
      <sheetName val="2 к 1.17."/>
      <sheetName val="1.21."/>
      <sheetName val="П1. к 1.21."/>
      <sheetName val="П2. к1.21."/>
      <sheetName val="P2.1"/>
      <sheetName val="P2.2"/>
      <sheetName val="мат.и зап. на тек.рем"/>
      <sheetName val="мат.и зап. на кап.рем"/>
      <sheetName val="расчет молока"/>
      <sheetName val="коммун.платежи"/>
      <sheetName val="ГСМ"/>
      <sheetName val="поверка приборов"/>
      <sheetName val="2008 год"/>
      <sheetName val="выплаты соц.хар"/>
    </sheetNames>
    <sheetDataSet>
      <sheetData sheetId="0">
        <row r="3">
          <cell r="B3">
            <v>2010</v>
          </cell>
        </row>
        <row r="4">
          <cell r="B4">
            <v>2009</v>
          </cell>
        </row>
        <row r="5">
          <cell r="B5">
            <v>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Свод"/>
      <sheetName val="Список"/>
      <sheetName val="рентаб"/>
      <sheetName val="по группам"/>
      <sheetName val="XLR_NoRangeSheet"/>
      <sheetName val="по_группам"/>
      <sheetName val="сент2006"/>
      <sheetName val="данные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5.1 к 1.15."/>
      <sheetName val="Анкета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База Водн."/>
      <sheetName val="Прил 4.2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Т.1.16. (2)"/>
      <sheetName val="Заголовок"/>
      <sheetName val="Анкета"/>
      <sheetName val="Т.1.1."/>
      <sheetName val="Т.1.2."/>
      <sheetName val="Т.1.4."/>
      <sheetName val="Т.1.5."/>
      <sheetName val="Т.1.6."/>
      <sheetName val="Смета"/>
      <sheetName val="1 к 1.15"/>
      <sheetName val="2 к 1.15."/>
      <sheetName val="4.1 к 1.15"/>
      <sheetName val="4.2 к 1.15"/>
      <sheetName val="5.1 к 1.15."/>
      <sheetName val="5.2 к 1.15."/>
      <sheetName val="5.3 к 1.15."/>
      <sheetName val="5.4 к 1.15."/>
      <sheetName val="6 к 1.15."/>
      <sheetName val="7 к 1.15."/>
      <sheetName val="8 к 1.15."/>
      <sheetName val="Т.1.16."/>
      <sheetName val="Т1.16"/>
      <sheetName val="П1.16"/>
      <sheetName val="П1.17"/>
      <sheetName val="1 к 1.17."/>
      <sheetName val="2 к 1.17."/>
      <sheetName val="1.21."/>
      <sheetName val="П1. к 1.21."/>
      <sheetName val="П2. к1.21."/>
    </sheetNames>
    <sheetDataSet>
      <sheetData sheetId="1">
        <row r="3">
          <cell r="B3">
            <v>2013</v>
          </cell>
        </row>
        <row r="4">
          <cell r="B4">
            <v>2012</v>
          </cell>
        </row>
        <row r="5">
          <cell r="B5">
            <v>2011</v>
          </cell>
        </row>
        <row r="7">
          <cell r="B7" t="str">
            <v>2011 утверждено</v>
          </cell>
          <cell r="C7" t="str">
            <v>2011 факт</v>
          </cell>
        </row>
        <row r="9">
          <cell r="F9" t="str">
            <v>Период регулирования 2013 год</v>
          </cell>
        </row>
      </sheetData>
      <sheetData sheetId="2">
        <row r="8">
          <cell r="C8" t="str">
            <v>г. Томск</v>
          </cell>
        </row>
        <row r="9">
          <cell r="C9" t="str">
            <v>г. Томск</v>
          </cell>
        </row>
      </sheetData>
      <sheetData sheetId="24"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Классификация"/>
      <sheetName val="Свод"/>
      <sheetName val="ПиУ"/>
      <sheetName val="Баланс"/>
      <sheetName val="Выручка"/>
      <sheetName val="Процессинговое сырье"/>
      <sheetName val="Сырье"/>
      <sheetName val="Всп. материалы"/>
      <sheetName val="Топливо"/>
      <sheetName val="Электроэнергия"/>
      <sheetName val="Теплоэнергия"/>
      <sheetName val="Прочая энергия"/>
      <sheetName val="ЗП"/>
      <sheetName val="Прочие затраты"/>
      <sheetName val="Списание"/>
      <sheetName val="Перепродажи"/>
      <sheetName val="Операционные"/>
      <sheetName val="Внереализационные"/>
      <sheetName val="Процессинговое_сырье"/>
      <sheetName val="Всп__материалы"/>
      <sheetName val="Прочая_энергия"/>
      <sheetName val="Прочие_затрат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ССЫЛКА"/>
      <sheetName val="Лист1"/>
      <sheetName val="Лист2"/>
      <sheetName val="Лист3"/>
      <sheetName val="#ÑÑÛËÊÀ"/>
      <sheetName val="Ëèñò1"/>
      <sheetName val="Ëèñò2"/>
      <sheetName val="Ëèñò3"/>
      <sheetName val="XLR_NoRangeSheet"/>
      <sheetName val="Актив199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Классификация"/>
      <sheetName val="Свод"/>
      <sheetName val="ПиУ"/>
      <sheetName val="Баланс"/>
      <sheetName val="Выручка"/>
      <sheetName val="Процессинговое сырье"/>
      <sheetName val="Сырье"/>
      <sheetName val="Всп. материалы"/>
      <sheetName val="Топливо"/>
      <sheetName val="Электроэнергия"/>
      <sheetName val="Теплоэнергия"/>
      <sheetName val="Прочая энергия"/>
      <sheetName val="ЗП"/>
      <sheetName val="Прочие затраты"/>
      <sheetName val="Списание"/>
      <sheetName val="Перепродажи"/>
      <sheetName val="Операционные"/>
      <sheetName val="Внереализационные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.1 к 1.15."/>
      <sheetName val="Анкета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База Водн."/>
      <sheetName val="Прил 4.2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евраль 2005г. "/>
      <sheetName val="Лист1"/>
      <sheetName val="Лист2"/>
      <sheetName val="Лист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3"/>
      <sheetName val="реал и комм расходы"/>
      <sheetName val="п.1"/>
      <sheetName val="п.2"/>
      <sheetName val="сырье и транспорт"/>
      <sheetName val="сент200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ПР АКЦ"/>
      <sheetName val="Калькул_АК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84"/>
  <sheetViews>
    <sheetView view="pageBreakPreview" zoomScaleSheetLayoutView="100" zoomScalePageLayoutView="0" workbookViewId="0" topLeftCell="C1">
      <pane xSplit="6" ySplit="8" topLeftCell="I45" activePane="bottomRight" state="frozen"/>
      <selection pane="topLeft" activeCell="C1" sqref="C1"/>
      <selection pane="topRight" activeCell="I1" sqref="I1"/>
      <selection pane="bottomLeft" activeCell="C9" sqref="C9"/>
      <selection pane="bottomRight" activeCell="I52" sqref="I52"/>
    </sheetView>
  </sheetViews>
  <sheetFormatPr defaultColWidth="9.140625" defaultRowHeight="15" outlineLevelRow="1" outlineLevelCol="1"/>
  <cols>
    <col min="1" max="1" width="10.57421875" style="252" hidden="1" customWidth="1"/>
    <col min="2" max="2" width="9.00390625" style="253" customWidth="1"/>
    <col min="3" max="3" width="87.421875" style="252" customWidth="1"/>
    <col min="4" max="4" width="11.57421875" style="252" hidden="1" customWidth="1"/>
    <col min="5" max="5" width="12.421875" style="252" hidden="1" customWidth="1"/>
    <col min="6" max="6" width="11.57421875" style="252" hidden="1" customWidth="1"/>
    <col min="7" max="7" width="12.7109375" style="252" hidden="1" customWidth="1" outlineLevel="1"/>
    <col min="8" max="8" width="15.00390625" style="252" hidden="1" customWidth="1" collapsed="1"/>
    <col min="9" max="9" width="22.7109375" style="252" customWidth="1"/>
    <col min="10" max="10" width="10.28125" style="252" hidden="1" customWidth="1"/>
    <col min="11" max="11" width="28.7109375" style="252" hidden="1" customWidth="1"/>
    <col min="12" max="16384" width="9.140625" style="252" customWidth="1"/>
  </cols>
  <sheetData>
    <row r="1" spans="1:17" s="149" customFormat="1" ht="16.5" thickBot="1">
      <c r="A1" s="144"/>
      <c r="B1" s="145" t="s">
        <v>0</v>
      </c>
      <c r="C1" s="146"/>
      <c r="D1" s="147" t="s">
        <v>8</v>
      </c>
      <c r="E1" s="148" t="s">
        <v>121</v>
      </c>
      <c r="F1" s="147"/>
      <c r="G1" s="149" t="s">
        <v>121</v>
      </c>
      <c r="I1" s="147" t="s">
        <v>9</v>
      </c>
      <c r="K1" s="150" t="s">
        <v>10</v>
      </c>
      <c r="L1" s="151"/>
      <c r="M1" s="151"/>
      <c r="N1" s="151"/>
      <c r="P1" s="151"/>
      <c r="Q1" s="152"/>
    </row>
    <row r="2" spans="2:9" s="14" customFormat="1" ht="15.75">
      <c r="B2" s="286" t="s">
        <v>122</v>
      </c>
      <c r="C2" s="286"/>
      <c r="D2" s="286"/>
      <c r="E2" s="286"/>
      <c r="F2" s="286"/>
      <c r="G2" s="286"/>
      <c r="H2" s="286"/>
      <c r="I2" s="286"/>
    </row>
    <row r="3" spans="2:9" s="14" customFormat="1" ht="15.75">
      <c r="B3" s="286"/>
      <c r="C3" s="286"/>
      <c r="D3" s="286"/>
      <c r="E3" s="286"/>
      <c r="F3" s="286"/>
      <c r="G3" s="286"/>
      <c r="H3" s="286"/>
      <c r="I3" s="286"/>
    </row>
    <row r="4" spans="2:9" s="153" customFormat="1" ht="14.25" thickBot="1">
      <c r="B4" s="154"/>
      <c r="C4" s="155" t="s">
        <v>123</v>
      </c>
      <c r="D4" s="156"/>
      <c r="E4" s="157"/>
      <c r="F4" s="156"/>
      <c r="G4" s="157"/>
      <c r="I4" s="158" t="s">
        <v>12</v>
      </c>
    </row>
    <row r="5" spans="1:11" s="161" customFormat="1" ht="12.75">
      <c r="A5" s="287" t="s">
        <v>13</v>
      </c>
      <c r="B5" s="289" t="s">
        <v>14</v>
      </c>
      <c r="C5" s="289" t="s">
        <v>15</v>
      </c>
      <c r="D5" s="290" t="s">
        <v>124</v>
      </c>
      <c r="E5" s="290" t="s">
        <v>125</v>
      </c>
      <c r="F5" s="290" t="s">
        <v>126</v>
      </c>
      <c r="G5" s="290" t="s">
        <v>127</v>
      </c>
      <c r="H5" s="290" t="s">
        <v>128</v>
      </c>
      <c r="I5" s="290" t="str">
        <f>H5</f>
        <v>Период регулирования 2011 год</v>
      </c>
      <c r="J5" s="159"/>
      <c r="K5" s="160"/>
    </row>
    <row r="6" spans="1:11" s="161" customFormat="1" ht="12.75">
      <c r="A6" s="288"/>
      <c r="B6" s="289"/>
      <c r="C6" s="289"/>
      <c r="D6" s="291"/>
      <c r="E6" s="291"/>
      <c r="F6" s="291"/>
      <c r="G6" s="291"/>
      <c r="H6" s="291"/>
      <c r="I6" s="291"/>
      <c r="J6" s="162"/>
      <c r="K6" s="160"/>
    </row>
    <row r="7" spans="1:11" s="161" customFormat="1" ht="12.75">
      <c r="A7" s="288"/>
      <c r="B7" s="289"/>
      <c r="C7" s="289"/>
      <c r="D7" s="292"/>
      <c r="E7" s="292"/>
      <c r="F7" s="292"/>
      <c r="G7" s="292"/>
      <c r="H7" s="292"/>
      <c r="I7" s="292"/>
      <c r="J7" s="163"/>
      <c r="K7" s="160"/>
    </row>
    <row r="8" spans="2:11" s="164" customFormat="1" ht="12.75">
      <c r="B8" s="165">
        <v>1</v>
      </c>
      <c r="C8" s="165">
        <f>B8+1</f>
        <v>2</v>
      </c>
      <c r="D8" s="165">
        <v>3</v>
      </c>
      <c r="E8" s="165">
        <v>4</v>
      </c>
      <c r="F8" s="165">
        <v>5</v>
      </c>
      <c r="G8" s="165">
        <v>6</v>
      </c>
      <c r="H8" s="165">
        <v>7</v>
      </c>
      <c r="I8" s="166">
        <v>3</v>
      </c>
      <c r="J8" s="167"/>
      <c r="K8" s="168"/>
    </row>
    <row r="9" spans="1:11" s="149" customFormat="1" ht="18" customHeight="1">
      <c r="A9" s="149">
        <f aca="true" t="shared" si="0" ref="A9:A56">IF($A$1=1,SUM(I9),SUM(H9))</f>
        <v>1945.4690449615098</v>
      </c>
      <c r="B9" s="169" t="s">
        <v>16</v>
      </c>
      <c r="C9" s="170" t="s">
        <v>17</v>
      </c>
      <c r="D9" s="171">
        <v>1317.95</v>
      </c>
      <c r="E9" s="172">
        <v>1804.4833300000005</v>
      </c>
      <c r="F9" s="171">
        <v>1317.95</v>
      </c>
      <c r="G9" s="171"/>
      <c r="H9" s="173">
        <v>1945.4690449615098</v>
      </c>
      <c r="I9" s="174">
        <f>H9-243.77</f>
        <v>1701.6990449615098</v>
      </c>
      <c r="J9" s="175">
        <f aca="true" t="shared" si="1" ref="J9:J73">IF(F9=0,0,I9/F9)</f>
        <v>1.2911711711077885</v>
      </c>
      <c r="K9" s="176"/>
    </row>
    <row r="10" spans="1:11" s="149" customFormat="1" ht="15.75" customHeight="1">
      <c r="A10" s="149">
        <f t="shared" si="0"/>
        <v>293.9443834532148</v>
      </c>
      <c r="B10" s="169" t="s">
        <v>18</v>
      </c>
      <c r="C10" s="170" t="s">
        <v>19</v>
      </c>
      <c r="D10" s="171">
        <v>290.29</v>
      </c>
      <c r="E10" s="177">
        <v>134.81694</v>
      </c>
      <c r="F10" s="171">
        <v>290.29</v>
      </c>
      <c r="G10" s="171"/>
      <c r="H10" s="173">
        <v>293.9443834532148</v>
      </c>
      <c r="I10" s="174">
        <f>H10</f>
        <v>293.9443834532148</v>
      </c>
      <c r="J10" s="175">
        <f t="shared" si="1"/>
        <v>1.0125887335189458</v>
      </c>
      <c r="K10" s="176" t="s">
        <v>129</v>
      </c>
    </row>
    <row r="11" spans="1:11" s="182" customFormat="1" ht="15.75" customHeight="1">
      <c r="A11" s="149">
        <f t="shared" si="0"/>
        <v>1345.3306355699526</v>
      </c>
      <c r="B11" s="169" t="s">
        <v>20</v>
      </c>
      <c r="C11" s="178" t="s">
        <v>130</v>
      </c>
      <c r="D11" s="179">
        <v>1219.47718</v>
      </c>
      <c r="E11" s="179">
        <f>E12+E13+E16</f>
        <v>1095.473076441428</v>
      </c>
      <c r="F11" s="179">
        <v>1230.23370025</v>
      </c>
      <c r="G11" s="179">
        <v>0</v>
      </c>
      <c r="H11" s="179">
        <f>H12+H13+H16</f>
        <v>1345.3306355699526</v>
      </c>
      <c r="I11" s="180">
        <f>I12+I13+I16</f>
        <v>1316.3500592675002</v>
      </c>
      <c r="J11" s="175">
        <f t="shared" si="1"/>
        <v>1.07</v>
      </c>
      <c r="K11" s="181"/>
    </row>
    <row r="12" spans="1:14" s="149" customFormat="1" ht="15" customHeight="1">
      <c r="A12" s="149">
        <f t="shared" si="0"/>
        <v>0</v>
      </c>
      <c r="B12" s="169" t="s">
        <v>22</v>
      </c>
      <c r="C12" s="183" t="s">
        <v>23</v>
      </c>
      <c r="D12" s="171">
        <v>328.42</v>
      </c>
      <c r="E12" s="177"/>
      <c r="F12" s="171">
        <v>295.57800000000003</v>
      </c>
      <c r="G12" s="171"/>
      <c r="H12" s="173"/>
      <c r="I12" s="184">
        <f>F12*107%</f>
        <v>316.26846000000006</v>
      </c>
      <c r="J12" s="175">
        <f t="shared" si="1"/>
        <v>1.07</v>
      </c>
      <c r="K12" s="176"/>
      <c r="N12" s="149">
        <f>+I9+I10+I12+I14+I15+I16+I19+I20+I21+I24+I33+I44+I45+I46+I50+I51+I52+I53+I54+I38+I32</f>
        <v>10263.871345528434</v>
      </c>
    </row>
    <row r="13" spans="1:14" s="149" customFormat="1" ht="15.75">
      <c r="A13" s="149">
        <f t="shared" si="0"/>
        <v>1268.8383193299526</v>
      </c>
      <c r="B13" s="185" t="s">
        <v>24</v>
      </c>
      <c r="C13" s="186" t="s">
        <v>25</v>
      </c>
      <c r="D13" s="179">
        <v>891.05718</v>
      </c>
      <c r="E13" s="171">
        <f>SUM(E14:E15)</f>
        <v>1024.465716441428</v>
      </c>
      <c r="F13" s="179">
        <v>889.80618</v>
      </c>
      <c r="G13" s="179">
        <v>0</v>
      </c>
      <c r="H13" s="179">
        <v>1268.8383193299526</v>
      </c>
      <c r="I13" s="187">
        <f>SUM(I14:I15)</f>
        <v>952.0926126000002</v>
      </c>
      <c r="J13" s="175">
        <f t="shared" si="1"/>
        <v>1.07</v>
      </c>
      <c r="K13" s="176"/>
      <c r="N13" s="149">
        <f>+I58-N12</f>
        <v>0</v>
      </c>
    </row>
    <row r="14" spans="1:11" s="149" customFormat="1" ht="17.25" customHeight="1">
      <c r="A14" s="149">
        <f t="shared" si="0"/>
        <v>1268.8383193299526</v>
      </c>
      <c r="B14" s="185" t="s">
        <v>26</v>
      </c>
      <c r="C14" s="186" t="s">
        <v>27</v>
      </c>
      <c r="D14" s="171">
        <v>878.54718</v>
      </c>
      <c r="E14" s="171">
        <v>1024.465716441428</v>
      </c>
      <c r="F14" s="171">
        <v>878.54718</v>
      </c>
      <c r="G14" s="171"/>
      <c r="H14" s="173">
        <v>1268.8383193299526</v>
      </c>
      <c r="I14" s="184">
        <f>F14*107%</f>
        <v>940.0454826000001</v>
      </c>
      <c r="J14" s="175">
        <f t="shared" si="1"/>
        <v>1.07</v>
      </c>
      <c r="K14" s="176"/>
    </row>
    <row r="15" spans="1:11" s="149" customFormat="1" ht="17.25" customHeight="1">
      <c r="A15" s="149">
        <f t="shared" si="0"/>
        <v>0</v>
      </c>
      <c r="B15" s="185" t="s">
        <v>28</v>
      </c>
      <c r="C15" s="186" t="s">
        <v>29</v>
      </c>
      <c r="D15" s="171">
        <v>12.51</v>
      </c>
      <c r="E15" s="171"/>
      <c r="F15" s="171">
        <v>11.259</v>
      </c>
      <c r="G15" s="171"/>
      <c r="H15" s="173"/>
      <c r="I15" s="184">
        <f>F15*107%</f>
        <v>12.047130000000001</v>
      </c>
      <c r="J15" s="175">
        <f t="shared" si="1"/>
        <v>1.07</v>
      </c>
      <c r="K15" s="176"/>
    </row>
    <row r="16" spans="1:11" s="149" customFormat="1" ht="17.25" customHeight="1">
      <c r="A16" s="149">
        <f t="shared" si="0"/>
        <v>76.49231624</v>
      </c>
      <c r="B16" s="185" t="s">
        <v>30</v>
      </c>
      <c r="C16" s="186" t="s">
        <v>31</v>
      </c>
      <c r="D16" s="177"/>
      <c r="E16" s="177">
        <v>71.00736</v>
      </c>
      <c r="F16" s="177">
        <v>44.84952024999999</v>
      </c>
      <c r="G16" s="177"/>
      <c r="H16" s="177">
        <v>76.49231624</v>
      </c>
      <c r="I16" s="184">
        <f>F16*107%</f>
        <v>47.988986667499994</v>
      </c>
      <c r="J16" s="175">
        <f t="shared" si="1"/>
        <v>1.07</v>
      </c>
      <c r="K16" s="176"/>
    </row>
    <row r="17" spans="1:11" s="149" customFormat="1" ht="15" customHeight="1">
      <c r="A17" s="149">
        <f t="shared" si="0"/>
        <v>0</v>
      </c>
      <c r="B17" s="185" t="s">
        <v>32</v>
      </c>
      <c r="C17" s="188" t="s">
        <v>33</v>
      </c>
      <c r="D17" s="171"/>
      <c r="E17" s="171">
        <f>E18</f>
        <v>0</v>
      </c>
      <c r="F17" s="171"/>
      <c r="G17" s="171"/>
      <c r="H17" s="171">
        <v>0</v>
      </c>
      <c r="I17" s="174"/>
      <c r="J17" s="175">
        <f t="shared" si="1"/>
        <v>0</v>
      </c>
      <c r="K17" s="176" t="s">
        <v>129</v>
      </c>
    </row>
    <row r="18" spans="1:11" s="149" customFormat="1" ht="15.75">
      <c r="A18" s="149">
        <f t="shared" si="0"/>
        <v>0</v>
      </c>
      <c r="B18" s="169" t="s">
        <v>34</v>
      </c>
      <c r="C18" s="189" t="s">
        <v>35</v>
      </c>
      <c r="D18" s="171"/>
      <c r="E18" s="171"/>
      <c r="F18" s="171"/>
      <c r="G18" s="171"/>
      <c r="H18" s="173"/>
      <c r="I18" s="190"/>
      <c r="J18" s="175">
        <f t="shared" si="1"/>
        <v>0</v>
      </c>
      <c r="K18" s="176"/>
    </row>
    <row r="19" spans="1:11" s="149" customFormat="1" ht="15.75">
      <c r="A19" s="149">
        <f t="shared" si="0"/>
        <v>2792.4682679340303</v>
      </c>
      <c r="B19" s="169" t="s">
        <v>36</v>
      </c>
      <c r="C19" s="191" t="s">
        <v>37</v>
      </c>
      <c r="D19" s="171">
        <v>2462.15</v>
      </c>
      <c r="E19" s="177">
        <v>2297.395303881631</v>
      </c>
      <c r="F19" s="171">
        <v>2462.15</v>
      </c>
      <c r="G19" s="171"/>
      <c r="H19" s="173">
        <v>2792.4682679340303</v>
      </c>
      <c r="I19" s="192">
        <v>2625.7136401116863</v>
      </c>
      <c r="J19" s="175">
        <f t="shared" si="1"/>
        <v>1.0664312247879644</v>
      </c>
      <c r="K19" s="176"/>
    </row>
    <row r="20" spans="1:12" s="149" customFormat="1" ht="15.75">
      <c r="A20" s="149">
        <f t="shared" si="0"/>
        <v>949.4392110975704</v>
      </c>
      <c r="B20" s="169" t="s">
        <v>38</v>
      </c>
      <c r="C20" s="193" t="s">
        <v>131</v>
      </c>
      <c r="D20" s="194">
        <v>640.159</v>
      </c>
      <c r="E20" s="177">
        <v>580.2150536950357</v>
      </c>
      <c r="F20" s="194">
        <v>640.159</v>
      </c>
      <c r="G20" s="194">
        <v>0</v>
      </c>
      <c r="H20" s="177">
        <v>949.4392110975704</v>
      </c>
      <c r="I20" s="184">
        <f>I19*I22</f>
        <v>892.7426376379734</v>
      </c>
      <c r="J20" s="175">
        <f t="shared" si="1"/>
        <v>1.3945639093381073</v>
      </c>
      <c r="K20" s="176"/>
      <c r="L20" s="149">
        <f>I20/I19</f>
        <v>0.34</v>
      </c>
    </row>
    <row r="21" spans="1:12" s="149" customFormat="1" ht="31.5">
      <c r="A21" s="149">
        <f t="shared" si="0"/>
        <v>0</v>
      </c>
      <c r="B21" s="169" t="s">
        <v>40</v>
      </c>
      <c r="C21" s="195" t="s">
        <v>41</v>
      </c>
      <c r="D21" s="196">
        <v>17.23505</v>
      </c>
      <c r="E21" s="197">
        <v>16.00960006383337</v>
      </c>
      <c r="F21" s="196">
        <v>17.23505</v>
      </c>
      <c r="G21" s="194">
        <v>0</v>
      </c>
      <c r="H21" s="177">
        <v>0</v>
      </c>
      <c r="I21" s="184">
        <f>I19*I23</f>
        <v>18.379995480781805</v>
      </c>
      <c r="J21" s="175">
        <f t="shared" si="1"/>
        <v>1.0664312247879644</v>
      </c>
      <c r="K21" s="176"/>
      <c r="L21" s="198">
        <f>I21/I19</f>
        <v>0.007</v>
      </c>
    </row>
    <row r="22" spans="1:11" s="149" customFormat="1" ht="15.75" customHeight="1">
      <c r="A22" s="149">
        <f t="shared" si="0"/>
        <v>0.34</v>
      </c>
      <c r="B22" s="169" t="s">
        <v>42</v>
      </c>
      <c r="C22" s="193" t="s">
        <v>43</v>
      </c>
      <c r="D22" s="197">
        <v>0.26</v>
      </c>
      <c r="E22" s="199">
        <f>IF(E19=0,0,E20/E19)</f>
        <v>0.2525534254878629</v>
      </c>
      <c r="F22" s="200">
        <v>0.26</v>
      </c>
      <c r="G22" s="200"/>
      <c r="H22" s="200">
        <v>0.34</v>
      </c>
      <c r="I22" s="201">
        <v>0.34</v>
      </c>
      <c r="J22" s="175">
        <f t="shared" si="1"/>
        <v>1.3076923076923077</v>
      </c>
      <c r="K22" s="176"/>
    </row>
    <row r="23" spans="1:11" s="149" customFormat="1" ht="17.25" customHeight="1">
      <c r="A23" s="202">
        <f t="shared" si="0"/>
        <v>0</v>
      </c>
      <c r="B23" s="169" t="s">
        <v>44</v>
      </c>
      <c r="C23" s="193" t="s">
        <v>45</v>
      </c>
      <c r="D23" s="197">
        <v>0.007</v>
      </c>
      <c r="E23" s="199">
        <f>IF(E19=0,0,E21/E19)</f>
        <v>0.006968587441953888</v>
      </c>
      <c r="F23" s="200">
        <v>0.007</v>
      </c>
      <c r="G23" s="200"/>
      <c r="H23" s="200"/>
      <c r="I23" s="201">
        <v>0.007</v>
      </c>
      <c r="J23" s="175">
        <f t="shared" si="1"/>
        <v>1</v>
      </c>
      <c r="K23" s="176"/>
    </row>
    <row r="24" spans="1:11" s="149" customFormat="1" ht="15.75" customHeight="1">
      <c r="A24" s="202">
        <f t="shared" si="0"/>
        <v>1200.685</v>
      </c>
      <c r="B24" s="169" t="s">
        <v>46</v>
      </c>
      <c r="C24" s="191" t="s">
        <v>47</v>
      </c>
      <c r="D24" s="171">
        <v>3211.0029999999997</v>
      </c>
      <c r="E24" s="171">
        <v>3707.969738811823</v>
      </c>
      <c r="F24" s="171">
        <v>2370.53851</v>
      </c>
      <c r="G24" s="171">
        <v>2953.067</v>
      </c>
      <c r="H24" s="171">
        <v>1200.685</v>
      </c>
      <c r="I24" s="174">
        <f>H24</f>
        <v>1200.685</v>
      </c>
      <c r="J24" s="175">
        <f t="shared" si="1"/>
        <v>0.5065030561347008</v>
      </c>
      <c r="K24" s="176" t="s">
        <v>129</v>
      </c>
    </row>
    <row r="25" spans="1:11" s="149" customFormat="1" ht="15.75">
      <c r="A25" s="149">
        <f t="shared" si="0"/>
        <v>111.596</v>
      </c>
      <c r="B25" s="169"/>
      <c r="C25" s="203" t="s">
        <v>48</v>
      </c>
      <c r="D25" s="171"/>
      <c r="E25" s="179">
        <v>2617.976</v>
      </c>
      <c r="F25" s="179">
        <v>1788.836</v>
      </c>
      <c r="G25" s="179">
        <v>1788.836</v>
      </c>
      <c r="H25" s="179">
        <v>111.596</v>
      </c>
      <c r="I25" s="174">
        <v>111.60046307603557</v>
      </c>
      <c r="J25" s="175">
        <f t="shared" si="1"/>
        <v>0.06238719652110957</v>
      </c>
      <c r="K25" s="176"/>
    </row>
    <row r="26" spans="1:11" s="149" customFormat="1" ht="15.75" hidden="1" outlineLevel="1">
      <c r="A26" s="149">
        <f t="shared" si="0"/>
        <v>0</v>
      </c>
      <c r="B26" s="169"/>
      <c r="C26" s="203" t="s">
        <v>49</v>
      </c>
      <c r="D26" s="171"/>
      <c r="E26" s="179">
        <v>0</v>
      </c>
      <c r="F26" s="179">
        <v>0</v>
      </c>
      <c r="G26" s="179">
        <v>0</v>
      </c>
      <c r="H26" s="179">
        <v>0</v>
      </c>
      <c r="I26" s="174"/>
      <c r="J26" s="175">
        <f t="shared" si="1"/>
        <v>0</v>
      </c>
      <c r="K26" s="176"/>
    </row>
    <row r="27" spans="1:11" s="149" customFormat="1" ht="15.75" hidden="1" outlineLevel="1">
      <c r="A27" s="149">
        <f t="shared" si="0"/>
        <v>0</v>
      </c>
      <c r="B27" s="169"/>
      <c r="C27" s="203" t="s">
        <v>50</v>
      </c>
      <c r="D27" s="171"/>
      <c r="E27" s="179">
        <v>39.233999999999995</v>
      </c>
      <c r="F27" s="179">
        <v>26.156</v>
      </c>
      <c r="G27" s="179">
        <v>26.156</v>
      </c>
      <c r="H27" s="179">
        <v>0</v>
      </c>
      <c r="I27" s="174"/>
      <c r="J27" s="175">
        <f t="shared" si="1"/>
        <v>0</v>
      </c>
      <c r="K27" s="176"/>
    </row>
    <row r="28" spans="1:11" s="149" customFormat="1" ht="15.75" hidden="1" outlineLevel="1">
      <c r="A28" s="149">
        <f t="shared" si="0"/>
        <v>0</v>
      </c>
      <c r="B28" s="169"/>
      <c r="C28" s="203" t="s">
        <v>51</v>
      </c>
      <c r="D28" s="171"/>
      <c r="E28" s="179">
        <v>0</v>
      </c>
      <c r="F28" s="179">
        <v>0</v>
      </c>
      <c r="G28" s="179">
        <v>0</v>
      </c>
      <c r="H28" s="179">
        <v>0</v>
      </c>
      <c r="I28" s="174"/>
      <c r="J28" s="175">
        <f t="shared" si="1"/>
        <v>0</v>
      </c>
      <c r="K28" s="176"/>
    </row>
    <row r="29" spans="1:11" s="149" customFormat="1" ht="15.75" collapsed="1">
      <c r="A29" s="149">
        <f t="shared" si="0"/>
        <v>0</v>
      </c>
      <c r="B29" s="169" t="s">
        <v>52</v>
      </c>
      <c r="C29" s="204" t="s">
        <v>53</v>
      </c>
      <c r="D29" s="171"/>
      <c r="E29" s="171"/>
      <c r="F29" s="171"/>
      <c r="G29" s="171"/>
      <c r="H29" s="173"/>
      <c r="I29" s="174"/>
      <c r="J29" s="175">
        <f t="shared" si="1"/>
        <v>0</v>
      </c>
      <c r="K29" s="176" t="s">
        <v>129</v>
      </c>
    </row>
    <row r="30" spans="1:11" s="149" customFormat="1" ht="15.75">
      <c r="A30" s="149">
        <f t="shared" si="0"/>
        <v>865.9513428999206</v>
      </c>
      <c r="B30" s="169" t="s">
        <v>54</v>
      </c>
      <c r="C30" s="204" t="s">
        <v>132</v>
      </c>
      <c r="D30" s="179">
        <v>417.6454349988942</v>
      </c>
      <c r="E30" s="179">
        <f>E31+E32+E33+E38+E39+E44+E45+E46</f>
        <v>738.5999671778047</v>
      </c>
      <c r="F30" s="179">
        <v>441.53441949900474</v>
      </c>
      <c r="G30" s="179">
        <v>0</v>
      </c>
      <c r="H30" s="179">
        <v>865.9513428999206</v>
      </c>
      <c r="I30" s="180">
        <f>I31+I32+I33+I38+I39+I44+I45+I46</f>
        <v>867.2592317610256</v>
      </c>
      <c r="J30" s="175">
        <f t="shared" si="1"/>
        <v>1.9641939415393197</v>
      </c>
      <c r="K30" s="176"/>
    </row>
    <row r="31" spans="1:11" s="149" customFormat="1" ht="15.75">
      <c r="A31" s="149">
        <f t="shared" si="0"/>
        <v>0</v>
      </c>
      <c r="B31" s="169" t="s">
        <v>56</v>
      </c>
      <c r="C31" s="205" t="s">
        <v>57</v>
      </c>
      <c r="D31" s="171"/>
      <c r="E31" s="206"/>
      <c r="F31" s="171"/>
      <c r="G31" s="171"/>
      <c r="H31" s="173"/>
      <c r="I31" s="180">
        <v>0</v>
      </c>
      <c r="J31" s="199">
        <f t="shared" si="1"/>
        <v>0</v>
      </c>
      <c r="K31" s="176"/>
    </row>
    <row r="32" spans="1:11" s="149" customFormat="1" ht="15.75" customHeight="1">
      <c r="A32" s="149">
        <f t="shared" si="0"/>
        <v>0.06454924000000001</v>
      </c>
      <c r="B32" s="169" t="s">
        <v>56</v>
      </c>
      <c r="C32" s="207" t="s">
        <v>58</v>
      </c>
      <c r="D32" s="171">
        <v>0.06</v>
      </c>
      <c r="E32" s="171">
        <v>0.05999</v>
      </c>
      <c r="F32" s="171">
        <v>0.06</v>
      </c>
      <c r="G32" s="171">
        <v>0</v>
      </c>
      <c r="H32" s="173">
        <v>0.06454924000000001</v>
      </c>
      <c r="I32" s="180">
        <f>F32</f>
        <v>0.06</v>
      </c>
      <c r="J32" s="199">
        <f t="shared" si="1"/>
        <v>1</v>
      </c>
      <c r="K32" s="176"/>
    </row>
    <row r="33" spans="1:11" s="149" customFormat="1" ht="14.25" customHeight="1">
      <c r="A33" s="149">
        <f t="shared" si="0"/>
        <v>160.896</v>
      </c>
      <c r="B33" s="169" t="s">
        <v>59</v>
      </c>
      <c r="C33" s="207" t="s">
        <v>60</v>
      </c>
      <c r="D33" s="171">
        <v>18.87244</v>
      </c>
      <c r="E33" s="171">
        <f>E34+E35+E36+E37</f>
        <v>160.896</v>
      </c>
      <c r="F33" s="171">
        <v>18.87244</v>
      </c>
      <c r="G33" s="171">
        <v>0</v>
      </c>
      <c r="H33" s="173">
        <v>160.896</v>
      </c>
      <c r="I33" s="180">
        <v>160.896</v>
      </c>
      <c r="J33" s="199">
        <f t="shared" si="1"/>
        <v>8.525447689858861</v>
      </c>
      <c r="K33" s="176"/>
    </row>
    <row r="34" spans="1:11" s="149" customFormat="1" ht="15" customHeight="1" hidden="1" outlineLevel="1">
      <c r="A34" s="149">
        <f t="shared" si="0"/>
        <v>160.896</v>
      </c>
      <c r="B34" s="169"/>
      <c r="C34" s="208" t="s">
        <v>48</v>
      </c>
      <c r="D34" s="171">
        <v>18.87244</v>
      </c>
      <c r="E34" s="171">
        <v>160.896</v>
      </c>
      <c r="F34" s="171">
        <v>18.87244</v>
      </c>
      <c r="G34" s="171">
        <v>0</v>
      </c>
      <c r="H34" s="173">
        <v>160.896</v>
      </c>
      <c r="I34" s="180"/>
      <c r="J34" s="199">
        <f t="shared" si="1"/>
        <v>0</v>
      </c>
      <c r="K34" s="176"/>
    </row>
    <row r="35" spans="1:11" s="149" customFormat="1" ht="15.75" hidden="1" outlineLevel="1">
      <c r="A35" s="149">
        <f t="shared" si="0"/>
        <v>0</v>
      </c>
      <c r="B35" s="169"/>
      <c r="C35" s="209" t="s">
        <v>49</v>
      </c>
      <c r="D35" s="171"/>
      <c r="E35" s="171">
        <v>0</v>
      </c>
      <c r="F35" s="171">
        <v>0</v>
      </c>
      <c r="G35" s="171">
        <v>0</v>
      </c>
      <c r="H35" s="173">
        <v>0</v>
      </c>
      <c r="I35" s="180"/>
      <c r="J35" s="199">
        <f t="shared" si="1"/>
        <v>0</v>
      </c>
      <c r="K35" s="176"/>
    </row>
    <row r="36" spans="1:11" s="149" customFormat="1" ht="15.75" hidden="1" outlineLevel="1">
      <c r="A36" s="149">
        <f t="shared" si="0"/>
        <v>0</v>
      </c>
      <c r="B36" s="169"/>
      <c r="C36" s="209" t="s">
        <v>50</v>
      </c>
      <c r="D36" s="171"/>
      <c r="E36" s="171">
        <v>0</v>
      </c>
      <c r="F36" s="171">
        <v>0</v>
      </c>
      <c r="G36" s="171">
        <v>0</v>
      </c>
      <c r="H36" s="173">
        <v>0</v>
      </c>
      <c r="I36" s="180"/>
      <c r="J36" s="199">
        <f t="shared" si="1"/>
        <v>0</v>
      </c>
      <c r="K36" s="176"/>
    </row>
    <row r="37" spans="1:11" s="149" customFormat="1" ht="15.75" hidden="1" outlineLevel="1">
      <c r="A37" s="149">
        <f t="shared" si="0"/>
        <v>0</v>
      </c>
      <c r="B37" s="169"/>
      <c r="C37" s="209" t="s">
        <v>51</v>
      </c>
      <c r="D37" s="171"/>
      <c r="E37" s="171">
        <v>0</v>
      </c>
      <c r="F37" s="171">
        <v>0</v>
      </c>
      <c r="G37" s="171">
        <v>0</v>
      </c>
      <c r="H37" s="173">
        <v>0</v>
      </c>
      <c r="I37" s="180"/>
      <c r="J37" s="199">
        <f t="shared" si="1"/>
        <v>0</v>
      </c>
      <c r="K37" s="176"/>
    </row>
    <row r="38" spans="1:11" s="149" customFormat="1" ht="15.75" customHeight="1" collapsed="1">
      <c r="A38" s="149">
        <f t="shared" si="0"/>
        <v>6.697024000000001</v>
      </c>
      <c r="B38" s="169" t="s">
        <v>61</v>
      </c>
      <c r="C38" s="207" t="s">
        <v>62</v>
      </c>
      <c r="D38" s="171">
        <v>4.07584</v>
      </c>
      <c r="E38" s="171">
        <v>6.224</v>
      </c>
      <c r="F38" s="171">
        <v>4.07584</v>
      </c>
      <c r="G38" s="171">
        <v>0</v>
      </c>
      <c r="H38" s="173">
        <v>6.697024000000001</v>
      </c>
      <c r="I38" s="180">
        <f>H38</f>
        <v>6.697024000000001</v>
      </c>
      <c r="J38" s="199">
        <f t="shared" si="1"/>
        <v>1.6431027714532465</v>
      </c>
      <c r="K38" s="176"/>
    </row>
    <row r="39" spans="1:11" s="149" customFormat="1" ht="15.75" customHeight="1">
      <c r="A39" s="149">
        <f t="shared" si="0"/>
        <v>0</v>
      </c>
      <c r="B39" s="169" t="s">
        <v>63</v>
      </c>
      <c r="C39" s="207" t="s">
        <v>7</v>
      </c>
      <c r="D39" s="171">
        <v>0</v>
      </c>
      <c r="E39" s="171">
        <v>0</v>
      </c>
      <c r="F39" s="171">
        <v>0</v>
      </c>
      <c r="G39" s="171">
        <v>0</v>
      </c>
      <c r="H39" s="173">
        <v>0</v>
      </c>
      <c r="I39" s="180"/>
      <c r="J39" s="199">
        <f t="shared" si="1"/>
        <v>0</v>
      </c>
      <c r="K39" s="176"/>
    </row>
    <row r="40" spans="1:11" s="149" customFormat="1" ht="15.75" hidden="1" outlineLevel="1">
      <c r="A40" s="149">
        <f t="shared" si="0"/>
        <v>0</v>
      </c>
      <c r="B40" s="169"/>
      <c r="C40" s="209" t="s">
        <v>48</v>
      </c>
      <c r="D40" s="171"/>
      <c r="E40" s="171">
        <v>0</v>
      </c>
      <c r="F40" s="171">
        <v>0</v>
      </c>
      <c r="G40" s="171">
        <v>0</v>
      </c>
      <c r="H40" s="173">
        <v>0</v>
      </c>
      <c r="I40" s="180"/>
      <c r="J40" s="199">
        <f t="shared" si="1"/>
        <v>0</v>
      </c>
      <c r="K40" s="176"/>
    </row>
    <row r="41" spans="1:11" s="149" customFormat="1" ht="15.75" hidden="1" outlineLevel="1">
      <c r="A41" s="149">
        <f t="shared" si="0"/>
        <v>0</v>
      </c>
      <c r="B41" s="169"/>
      <c r="C41" s="209" t="s">
        <v>49</v>
      </c>
      <c r="D41" s="171"/>
      <c r="E41" s="171">
        <v>0</v>
      </c>
      <c r="F41" s="171">
        <v>0</v>
      </c>
      <c r="G41" s="171">
        <v>0</v>
      </c>
      <c r="H41" s="173">
        <v>0</v>
      </c>
      <c r="I41" s="180"/>
      <c r="J41" s="199">
        <f t="shared" si="1"/>
        <v>0</v>
      </c>
      <c r="K41" s="176"/>
    </row>
    <row r="42" spans="1:11" s="149" customFormat="1" ht="15.75" hidden="1" outlineLevel="1">
      <c r="A42" s="149">
        <f t="shared" si="0"/>
        <v>0</v>
      </c>
      <c r="B42" s="169"/>
      <c r="C42" s="209" t="s">
        <v>50</v>
      </c>
      <c r="D42" s="171"/>
      <c r="E42" s="171">
        <v>0</v>
      </c>
      <c r="F42" s="171">
        <v>0</v>
      </c>
      <c r="G42" s="171">
        <v>0</v>
      </c>
      <c r="H42" s="173">
        <v>0</v>
      </c>
      <c r="I42" s="180"/>
      <c r="J42" s="199">
        <f t="shared" si="1"/>
        <v>0</v>
      </c>
      <c r="K42" s="176"/>
    </row>
    <row r="43" spans="1:11" s="149" customFormat="1" ht="15.75" hidden="1" outlineLevel="1">
      <c r="A43" s="149">
        <f t="shared" si="0"/>
        <v>0</v>
      </c>
      <c r="B43" s="169"/>
      <c r="C43" s="209" t="s">
        <v>51</v>
      </c>
      <c r="D43" s="171"/>
      <c r="E43" s="171">
        <v>0</v>
      </c>
      <c r="F43" s="171">
        <v>0</v>
      </c>
      <c r="G43" s="171">
        <v>0</v>
      </c>
      <c r="H43" s="173">
        <v>0</v>
      </c>
      <c r="I43" s="180"/>
      <c r="J43" s="199">
        <f t="shared" si="1"/>
        <v>0</v>
      </c>
      <c r="K43" s="176"/>
    </row>
    <row r="44" spans="1:11" s="149" customFormat="1" ht="15.75" customHeight="1" collapsed="1">
      <c r="A44" s="149">
        <f t="shared" si="0"/>
        <v>12.59787256</v>
      </c>
      <c r="B44" s="169" t="s">
        <v>64</v>
      </c>
      <c r="C44" s="207" t="s">
        <v>65</v>
      </c>
      <c r="D44" s="171">
        <v>6.688280000000001</v>
      </c>
      <c r="E44" s="171">
        <v>11.70806</v>
      </c>
      <c r="F44" s="171">
        <v>6.019452000000001</v>
      </c>
      <c r="G44" s="171">
        <v>0</v>
      </c>
      <c r="H44" s="173">
        <v>12.59787256</v>
      </c>
      <c r="I44" s="180">
        <v>14.45110696102559</v>
      </c>
      <c r="J44" s="199">
        <f t="shared" si="1"/>
        <v>2.4007346451181246</v>
      </c>
      <c r="K44" s="176"/>
    </row>
    <row r="45" spans="1:11" s="149" customFormat="1" ht="15.75" customHeight="1">
      <c r="A45" s="149">
        <f t="shared" si="0"/>
        <v>5.471180240000001</v>
      </c>
      <c r="B45" s="169" t="s">
        <v>66</v>
      </c>
      <c r="C45" s="207" t="s">
        <v>67</v>
      </c>
      <c r="D45" s="171">
        <v>5.121599999999999</v>
      </c>
      <c r="E45" s="171">
        <v>5.08474</v>
      </c>
      <c r="F45" s="171">
        <v>4.609439999999999</v>
      </c>
      <c r="G45" s="171">
        <v>0</v>
      </c>
      <c r="H45" s="173">
        <v>5.471180240000001</v>
      </c>
      <c r="I45" s="180">
        <f>F45*107%</f>
        <v>4.9321008</v>
      </c>
      <c r="J45" s="199">
        <f t="shared" si="1"/>
        <v>1.07</v>
      </c>
      <c r="K45" s="176"/>
    </row>
    <row r="46" spans="1:11" s="149" customFormat="1" ht="14.25" customHeight="1">
      <c r="A46" s="149">
        <f t="shared" si="0"/>
        <v>680.224716859921</v>
      </c>
      <c r="B46" s="169" t="s">
        <v>68</v>
      </c>
      <c r="C46" s="207" t="s">
        <v>69</v>
      </c>
      <c r="D46" s="171">
        <f>367.313066998894+15.514208</f>
        <v>382.827274998894</v>
      </c>
      <c r="E46" s="171">
        <v>554.6271771778047</v>
      </c>
      <c r="F46" s="171">
        <v>407.9</v>
      </c>
      <c r="G46" s="171">
        <v>0</v>
      </c>
      <c r="H46" s="173">
        <f>662.786415259921+17.4383016</f>
        <v>680.224716859921</v>
      </c>
      <c r="I46" s="180">
        <f>F46*107%+243.77</f>
        <v>680.223</v>
      </c>
      <c r="J46" s="199">
        <f t="shared" si="1"/>
        <v>1.6676219661681784</v>
      </c>
      <c r="K46" s="176"/>
    </row>
    <row r="47" spans="1:11" s="149" customFormat="1" ht="15.75" customHeight="1">
      <c r="A47" s="149">
        <f t="shared" si="0"/>
        <v>9393.287885916197</v>
      </c>
      <c r="B47" s="210" t="s">
        <v>70</v>
      </c>
      <c r="C47" s="211" t="s">
        <v>71</v>
      </c>
      <c r="D47" s="212">
        <v>9575.909664998895</v>
      </c>
      <c r="E47" s="212">
        <f>E9+E10+E11+E17+E19+E20+E21+E24+E29+E30</f>
        <v>10374.963010071555</v>
      </c>
      <c r="F47" s="212">
        <v>8770.090679749004</v>
      </c>
      <c r="G47" s="212">
        <v>2953.067</v>
      </c>
      <c r="H47" s="212">
        <v>9393.287885916197</v>
      </c>
      <c r="I47" s="213">
        <f>I9+I10+I11+I17+I19+I20+I21+I24+I29+I30</f>
        <v>8916.773992673692</v>
      </c>
      <c r="J47" s="214">
        <f t="shared" si="1"/>
        <v>1.0167254043636509</v>
      </c>
      <c r="K47" s="176">
        <f>F47-I47</f>
        <v>-146.68331292468793</v>
      </c>
    </row>
    <row r="48" spans="1:12" s="149" customFormat="1" ht="15.75">
      <c r="A48" s="149">
        <f t="shared" si="0"/>
        <v>3369.5659198609837</v>
      </c>
      <c r="B48" s="169" t="s">
        <v>72</v>
      </c>
      <c r="C48" s="191" t="s">
        <v>73</v>
      </c>
      <c r="D48" s="179">
        <v>881.10148</v>
      </c>
      <c r="E48" s="179">
        <f>E49+E54+E55-E56</f>
        <v>1161.9653241923695</v>
      </c>
      <c r="F48" s="179">
        <v>954.50048</v>
      </c>
      <c r="G48" s="179">
        <v>954.2615999999998</v>
      </c>
      <c r="H48" s="179">
        <v>3369.5659198609837</v>
      </c>
      <c r="I48" s="180">
        <f>I49+I54+I55-I56</f>
        <v>1347.0973528547427</v>
      </c>
      <c r="J48" s="199">
        <f t="shared" si="1"/>
        <v>1.411311341461811</v>
      </c>
      <c r="K48" s="176"/>
      <c r="L48" s="149">
        <f>+I47/I67*I69</f>
        <v>3809.609582465064</v>
      </c>
    </row>
    <row r="49" spans="1:12" s="149" customFormat="1" ht="15.75">
      <c r="A49" s="149">
        <f t="shared" si="0"/>
        <v>1479.7678214119023</v>
      </c>
      <c r="B49" s="169" t="s">
        <v>74</v>
      </c>
      <c r="C49" s="189" t="s">
        <v>133</v>
      </c>
      <c r="D49" s="179">
        <v>717.65148</v>
      </c>
      <c r="E49" s="179">
        <f>E50+E51+E52+E53</f>
        <v>951.4955041923696</v>
      </c>
      <c r="F49" s="179">
        <v>717.65148</v>
      </c>
      <c r="G49" s="179">
        <v>954.2615999999998</v>
      </c>
      <c r="H49" s="179">
        <v>1479.7678214119023</v>
      </c>
      <c r="I49" s="180">
        <f>I50+I51+I52+I53</f>
        <v>1189.6950028547426</v>
      </c>
      <c r="J49" s="199">
        <f t="shared" si="1"/>
        <v>1.6577615123914224</v>
      </c>
      <c r="K49" s="176"/>
      <c r="L49" s="149">
        <f>+I49</f>
        <v>1189.6950028547426</v>
      </c>
    </row>
    <row r="50" spans="1:12" s="149" customFormat="1" ht="15" customHeight="1">
      <c r="A50" s="149">
        <f t="shared" si="0"/>
        <v>678.7981735702383</v>
      </c>
      <c r="B50" s="169" t="s">
        <v>76</v>
      </c>
      <c r="C50" s="207" t="s">
        <v>77</v>
      </c>
      <c r="D50" s="177">
        <v>322.44</v>
      </c>
      <c r="E50" s="171">
        <v>340.7229825366394</v>
      </c>
      <c r="F50" s="177">
        <v>322.44</v>
      </c>
      <c r="G50" s="177">
        <v>387.84959999999995</v>
      </c>
      <c r="H50" s="173">
        <v>678.7981735702383</v>
      </c>
      <c r="I50" s="192">
        <v>637.6663718298015</v>
      </c>
      <c r="J50" s="199">
        <f t="shared" si="1"/>
        <v>1.9776279984797218</v>
      </c>
      <c r="K50" s="176"/>
      <c r="L50" s="149">
        <f>+I54+I59</f>
        <v>284.32574999999997</v>
      </c>
    </row>
    <row r="51" spans="1:11" s="149" customFormat="1" ht="15" customHeight="1">
      <c r="A51" s="149">
        <f t="shared" si="0"/>
        <v>230.79137901388103</v>
      </c>
      <c r="B51" s="169" t="s">
        <v>78</v>
      </c>
      <c r="C51" s="207" t="s">
        <v>39</v>
      </c>
      <c r="D51" s="173">
        <v>83.8344</v>
      </c>
      <c r="E51" s="177">
        <v>69.26661151693474</v>
      </c>
      <c r="F51" s="173">
        <v>83.8344</v>
      </c>
      <c r="G51" s="173">
        <v>0</v>
      </c>
      <c r="H51" s="173">
        <v>230.79137901388103</v>
      </c>
      <c r="I51" s="190">
        <f>I50*I22</f>
        <v>216.80656642213253</v>
      </c>
      <c r="J51" s="199">
        <f t="shared" si="1"/>
        <v>2.5861289210888674</v>
      </c>
      <c r="K51" s="176"/>
    </row>
    <row r="52" spans="1:12" s="149" customFormat="1" ht="31.5">
      <c r="A52" s="149">
        <f t="shared" si="0"/>
        <v>0</v>
      </c>
      <c r="B52" s="169" t="s">
        <v>80</v>
      </c>
      <c r="C52" s="215" t="s">
        <v>41</v>
      </c>
      <c r="D52" s="173">
        <v>2.25708</v>
      </c>
      <c r="E52" s="177"/>
      <c r="F52" s="173">
        <v>2.25708</v>
      </c>
      <c r="G52" s="173">
        <v>0</v>
      </c>
      <c r="H52" s="173">
        <v>0</v>
      </c>
      <c r="I52" s="190">
        <f>I50*I23</f>
        <v>4.463664602808611</v>
      </c>
      <c r="J52" s="199">
        <f t="shared" si="1"/>
        <v>1.9776279984797218</v>
      </c>
      <c r="K52" s="176"/>
      <c r="L52" s="149">
        <f>+L48+L49+L50</f>
        <v>5283.630335319806</v>
      </c>
    </row>
    <row r="53" spans="1:11" s="149" customFormat="1" ht="14.25" customHeight="1">
      <c r="A53" s="149">
        <f t="shared" si="0"/>
        <v>570.178268827783</v>
      </c>
      <c r="B53" s="169" t="s">
        <v>81</v>
      </c>
      <c r="C53" s="208" t="s">
        <v>82</v>
      </c>
      <c r="D53" s="177">
        <v>309.12</v>
      </c>
      <c r="E53" s="171">
        <v>541.5059101387955</v>
      </c>
      <c r="F53" s="177">
        <v>309.12</v>
      </c>
      <c r="G53" s="177">
        <v>566.4119999999998</v>
      </c>
      <c r="H53" s="173">
        <v>570.178268827783</v>
      </c>
      <c r="I53" s="180">
        <f>F53*107%</f>
        <v>330.75840000000005</v>
      </c>
      <c r="J53" s="199">
        <f t="shared" si="1"/>
        <v>1.07</v>
      </c>
      <c r="K53" s="176"/>
    </row>
    <row r="54" spans="1:11" s="149" customFormat="1" ht="15.75" customHeight="1">
      <c r="A54" s="149">
        <f t="shared" si="0"/>
        <v>118.6498084490811</v>
      </c>
      <c r="B54" s="169" t="s">
        <v>83</v>
      </c>
      <c r="C54" s="216" t="s">
        <v>84</v>
      </c>
      <c r="D54" s="171">
        <v>163.45</v>
      </c>
      <c r="E54" s="171">
        <v>210.46982</v>
      </c>
      <c r="F54" s="171">
        <v>147.105</v>
      </c>
      <c r="G54" s="171">
        <v>0</v>
      </c>
      <c r="H54" s="173">
        <v>118.6498084490811</v>
      </c>
      <c r="I54" s="180">
        <f>F54*107%</f>
        <v>157.40234999999998</v>
      </c>
      <c r="J54" s="199">
        <f t="shared" si="1"/>
        <v>1.07</v>
      </c>
      <c r="K54" s="176"/>
    </row>
    <row r="55" spans="1:11" s="149" customFormat="1" ht="17.25" customHeight="1" hidden="1" outlineLevel="1">
      <c r="A55" s="149">
        <f t="shared" si="0"/>
        <v>1771.14829</v>
      </c>
      <c r="B55" s="169" t="s">
        <v>85</v>
      </c>
      <c r="C55" s="216" t="s">
        <v>86</v>
      </c>
      <c r="D55" s="171"/>
      <c r="E55" s="171"/>
      <c r="F55" s="171">
        <v>89.744</v>
      </c>
      <c r="G55" s="171"/>
      <c r="H55" s="173">
        <v>1771.14829</v>
      </c>
      <c r="I55" s="174"/>
      <c r="J55" s="199">
        <f t="shared" si="1"/>
        <v>0</v>
      </c>
      <c r="K55" s="176"/>
    </row>
    <row r="56" spans="1:11" s="149" customFormat="1" ht="15.75" customHeight="1" hidden="1" outlineLevel="1">
      <c r="A56" s="149">
        <f t="shared" si="0"/>
        <v>0</v>
      </c>
      <c r="B56" s="169" t="s">
        <v>87</v>
      </c>
      <c r="C56" s="216" t="s">
        <v>88</v>
      </c>
      <c r="D56" s="171"/>
      <c r="E56" s="171"/>
      <c r="F56" s="171"/>
      <c r="G56" s="171"/>
      <c r="H56" s="171"/>
      <c r="I56" s="174"/>
      <c r="J56" s="199">
        <f t="shared" si="1"/>
        <v>0</v>
      </c>
      <c r="K56" s="176"/>
    </row>
    <row r="57" spans="2:11" s="149" customFormat="1" ht="15.75" hidden="1" outlineLevel="1" collapsed="1">
      <c r="B57" s="169" t="s">
        <v>89</v>
      </c>
      <c r="C57" s="216" t="s">
        <v>90</v>
      </c>
      <c r="D57" s="171"/>
      <c r="E57" s="171">
        <v>1620.305</v>
      </c>
      <c r="F57" s="171">
        <v>2143.757</v>
      </c>
      <c r="G57" s="171"/>
      <c r="H57" s="171">
        <v>2284.289185234</v>
      </c>
      <c r="I57" s="174"/>
      <c r="J57" s="199">
        <f t="shared" si="1"/>
        <v>0</v>
      </c>
      <c r="K57" s="176"/>
    </row>
    <row r="58" spans="1:11" s="149" customFormat="1" ht="17.25" customHeight="1" collapsed="1">
      <c r="A58" s="149">
        <f>IF($A$1=1,SUM(I58),SUM(H58))</f>
        <v>15047.14299101118</v>
      </c>
      <c r="B58" s="217" t="s">
        <v>89</v>
      </c>
      <c r="C58" s="218" t="s">
        <v>134</v>
      </c>
      <c r="D58" s="212">
        <v>10457.011144998894</v>
      </c>
      <c r="E58" s="212">
        <f>E47+E48+E57</f>
        <v>13157.233334263925</v>
      </c>
      <c r="F58" s="212">
        <v>11868.348159749004</v>
      </c>
      <c r="G58" s="212">
        <v>3907.3286</v>
      </c>
      <c r="H58" s="212">
        <f>H47+H48+H57</f>
        <v>15047.14299101118</v>
      </c>
      <c r="I58" s="213">
        <f>I47+I48</f>
        <v>10263.871345528434</v>
      </c>
      <c r="J58" s="214">
        <f t="shared" si="1"/>
        <v>0.8648104359069879</v>
      </c>
      <c r="K58" s="176"/>
    </row>
    <row r="59" spans="1:11" s="149" customFormat="1" ht="16.5" customHeight="1">
      <c r="A59" s="149">
        <f>IF($A$1=1,SUM(I59),SUM(H59))</f>
        <v>162.166657121049</v>
      </c>
      <c r="B59" s="185" t="s">
        <v>91</v>
      </c>
      <c r="C59" s="191" t="s">
        <v>94</v>
      </c>
      <c r="D59" s="171">
        <v>131.8</v>
      </c>
      <c r="E59" s="171">
        <f>E60-E58</f>
        <v>-747.3113883453207</v>
      </c>
      <c r="F59" s="171">
        <v>118.62</v>
      </c>
      <c r="G59" s="171">
        <v>162.166657121049</v>
      </c>
      <c r="H59" s="173">
        <v>162.166657121049</v>
      </c>
      <c r="I59" s="180">
        <f>F59*107%</f>
        <v>126.92340000000002</v>
      </c>
      <c r="J59" s="199">
        <f t="shared" si="1"/>
        <v>1.07</v>
      </c>
      <c r="K59" s="176"/>
    </row>
    <row r="60" spans="1:11" s="149" customFormat="1" ht="15.75">
      <c r="A60" s="149">
        <f>IF($A$1=1,SUM(I60),SUM(H60))</f>
        <v>15209.30964813223</v>
      </c>
      <c r="B60" s="217" t="s">
        <v>93</v>
      </c>
      <c r="C60" s="219" t="s">
        <v>96</v>
      </c>
      <c r="D60" s="212">
        <v>10588.811144998894</v>
      </c>
      <c r="E60" s="220">
        <f>$E$47/249125.129*(249125.129-$E$66)+$E$61</f>
        <v>12409.921945918604</v>
      </c>
      <c r="F60" s="212">
        <v>11986.968159749005</v>
      </c>
      <c r="G60" s="212">
        <v>4069.495257121049</v>
      </c>
      <c r="H60" s="212">
        <f>H58+H59</f>
        <v>15209.30964813223</v>
      </c>
      <c r="I60" s="213">
        <f>I58+I59</f>
        <v>10390.794745528434</v>
      </c>
      <c r="J60" s="214">
        <f t="shared" si="1"/>
        <v>0.8668409398482966</v>
      </c>
      <c r="K60" s="176"/>
    </row>
    <row r="61" spans="1:11" s="149" customFormat="1" ht="15.75">
      <c r="A61" s="149">
        <f>IF($A$1=1,SUM(I61),SUM(H61))</f>
        <v>9701.597847220077</v>
      </c>
      <c r="B61" s="217" t="s">
        <v>135</v>
      </c>
      <c r="C61" s="221" t="s">
        <v>136</v>
      </c>
      <c r="D61" s="222">
        <v>4770.33</v>
      </c>
      <c r="E61" s="222">
        <v>6195.587519999999</v>
      </c>
      <c r="F61" s="222">
        <v>6913.8440811282635</v>
      </c>
      <c r="G61" s="222"/>
      <c r="H61" s="222">
        <v>9701.597847220077</v>
      </c>
      <c r="I61" s="213">
        <v>5283.6303353198</v>
      </c>
      <c r="J61" s="214">
        <f t="shared" si="1"/>
        <v>0.7642102241995555</v>
      </c>
      <c r="K61" s="176"/>
    </row>
    <row r="62" spans="2:12" s="149" customFormat="1" ht="15.75">
      <c r="B62" s="223" t="s">
        <v>135</v>
      </c>
      <c r="C62" s="224" t="s">
        <v>100</v>
      </c>
      <c r="D62" s="225">
        <v>4770.33</v>
      </c>
      <c r="E62" s="225">
        <v>4310.16958</v>
      </c>
      <c r="F62" s="225">
        <v>4770.087081128264</v>
      </c>
      <c r="G62" s="225"/>
      <c r="H62" s="225">
        <v>7417.308661986078</v>
      </c>
      <c r="I62" s="226">
        <v>5283.6303353198</v>
      </c>
      <c r="J62" s="199">
        <f t="shared" si="1"/>
        <v>1.107659094154329</v>
      </c>
      <c r="K62" s="176"/>
      <c r="L62" s="149">
        <f>+I62-I59</f>
        <v>5156.7069353198</v>
      </c>
    </row>
    <row r="63" spans="2:11" s="149" customFormat="1" ht="15.75">
      <c r="B63" s="223" t="s">
        <v>137</v>
      </c>
      <c r="C63" s="224" t="s">
        <v>102</v>
      </c>
      <c r="D63" s="225"/>
      <c r="E63" s="225">
        <v>1885.41794</v>
      </c>
      <c r="F63" s="225">
        <v>2143.757</v>
      </c>
      <c r="G63" s="225"/>
      <c r="H63" s="225">
        <v>2284.289185234</v>
      </c>
      <c r="I63" s="226">
        <f>I57</f>
        <v>0</v>
      </c>
      <c r="J63" s="199">
        <f t="shared" si="1"/>
        <v>0</v>
      </c>
      <c r="K63" s="176"/>
    </row>
    <row r="64" spans="1:11" s="149" customFormat="1" ht="15.75">
      <c r="A64" s="149">
        <f aca="true" t="shared" si="2" ref="A64:A81">IF($A$1=1,SUM(I64),SUM(H64))</f>
        <v>518751.6011</v>
      </c>
      <c r="B64" s="169" t="s">
        <v>95</v>
      </c>
      <c r="C64" s="227" t="s">
        <v>104</v>
      </c>
      <c r="D64" s="171">
        <v>560200.98</v>
      </c>
      <c r="E64" s="171">
        <v>543600.6941000001</v>
      </c>
      <c r="F64" s="171">
        <v>560200.9781000001</v>
      </c>
      <c r="G64" s="171"/>
      <c r="H64" s="228">
        <v>518751.6011</v>
      </c>
      <c r="I64" s="190">
        <v>518803.4215172943</v>
      </c>
      <c r="J64" s="199">
        <f t="shared" si="1"/>
        <v>0.9261023129179257</v>
      </c>
      <c r="K64" s="176"/>
    </row>
    <row r="65" spans="1:11" s="149" customFormat="1" ht="15.75">
      <c r="A65" s="149">
        <f t="shared" si="2"/>
        <v>419496.60109999997</v>
      </c>
      <c r="B65" s="169" t="s">
        <v>138</v>
      </c>
      <c r="C65" s="189" t="s">
        <v>106</v>
      </c>
      <c r="D65" s="171">
        <v>436833.64</v>
      </c>
      <c r="E65" s="171">
        <v>443695.0721</v>
      </c>
      <c r="F65" s="171">
        <v>436833.6781</v>
      </c>
      <c r="G65" s="171"/>
      <c r="H65" s="228">
        <v>419496.60109999997</v>
      </c>
      <c r="I65" s="190">
        <v>419548.4215172942</v>
      </c>
      <c r="J65" s="199">
        <f t="shared" si="1"/>
        <v>0.9604305770152893</v>
      </c>
      <c r="K65" s="176"/>
    </row>
    <row r="66" spans="1:11" s="149" customFormat="1" ht="15.75">
      <c r="A66" s="149">
        <f t="shared" si="2"/>
        <v>99255</v>
      </c>
      <c r="B66" s="169" t="s">
        <v>139</v>
      </c>
      <c r="C66" s="189" t="s">
        <v>140</v>
      </c>
      <c r="D66" s="171">
        <v>123367.34</v>
      </c>
      <c r="E66" s="171">
        <v>99905.622</v>
      </c>
      <c r="F66" s="171">
        <v>123367.3</v>
      </c>
      <c r="G66" s="171"/>
      <c r="H66" s="228">
        <v>99255</v>
      </c>
      <c r="I66" s="190">
        <f>I64-I65</f>
        <v>99255.00000000012</v>
      </c>
      <c r="J66" s="199">
        <f t="shared" si="1"/>
        <v>0.804548693211249</v>
      </c>
      <c r="K66" s="176"/>
    </row>
    <row r="67" spans="2:11" s="229" customFormat="1" ht="31.5">
      <c r="B67" s="230" t="s">
        <v>97</v>
      </c>
      <c r="C67" s="231" t="s">
        <v>141</v>
      </c>
      <c r="D67" s="225"/>
      <c r="E67" s="225"/>
      <c r="F67" s="225"/>
      <c r="G67" s="225"/>
      <c r="H67" s="232"/>
      <c r="I67" s="233">
        <v>232316.3</v>
      </c>
      <c r="J67" s="234"/>
      <c r="K67" s="235"/>
    </row>
    <row r="68" spans="2:11" s="229" customFormat="1" ht="15.75">
      <c r="B68" s="230" t="s">
        <v>99</v>
      </c>
      <c r="C68" s="224" t="s">
        <v>142</v>
      </c>
      <c r="D68" s="225"/>
      <c r="E68" s="225"/>
      <c r="F68" s="225"/>
      <c r="G68" s="225"/>
      <c r="H68" s="232"/>
      <c r="I68" s="233">
        <f>+I67-I69</f>
        <v>133061.29999999987</v>
      </c>
      <c r="J68" s="234"/>
      <c r="K68" s="235"/>
    </row>
    <row r="69" spans="2:11" s="229" customFormat="1" ht="15.75">
      <c r="B69" s="230" t="s">
        <v>101</v>
      </c>
      <c r="C69" s="224" t="s">
        <v>143</v>
      </c>
      <c r="D69" s="225"/>
      <c r="E69" s="225"/>
      <c r="F69" s="225"/>
      <c r="G69" s="225"/>
      <c r="H69" s="232"/>
      <c r="I69" s="233">
        <f>+I66</f>
        <v>99255.00000000012</v>
      </c>
      <c r="J69" s="234"/>
      <c r="K69" s="235"/>
    </row>
    <row r="70" spans="2:11" s="149" customFormat="1" ht="15.75">
      <c r="B70" s="169" t="s">
        <v>103</v>
      </c>
      <c r="C70" s="117" t="s">
        <v>144</v>
      </c>
      <c r="D70" s="171"/>
      <c r="E70" s="171"/>
      <c r="F70" s="171"/>
      <c r="G70" s="171"/>
      <c r="H70" s="228"/>
      <c r="I70" s="190">
        <v>13.394</v>
      </c>
      <c r="J70" s="199"/>
      <c r="K70" s="176"/>
    </row>
    <row r="71" spans="1:11" s="149" customFormat="1" ht="15.75">
      <c r="A71" s="149">
        <f t="shared" si="2"/>
        <v>18.635424831863403</v>
      </c>
      <c r="B71" s="169" t="s">
        <v>145</v>
      </c>
      <c r="C71" s="236" t="s">
        <v>110</v>
      </c>
      <c r="D71" s="171">
        <v>17</v>
      </c>
      <c r="E71" s="171">
        <f>+D71</f>
        <v>17</v>
      </c>
      <c r="F71" s="171">
        <v>17</v>
      </c>
      <c r="G71" s="171"/>
      <c r="H71" s="173">
        <v>18.635424831863403</v>
      </c>
      <c r="I71" s="190">
        <v>17.50621053904724</v>
      </c>
      <c r="J71" s="199">
        <f t="shared" si="1"/>
        <v>1.0297770905321906</v>
      </c>
      <c r="K71" s="176"/>
    </row>
    <row r="72" spans="1:11" s="149" customFormat="1" ht="15.75">
      <c r="A72" s="149">
        <f t="shared" si="2"/>
        <v>15522.70506675452</v>
      </c>
      <c r="B72" s="169" t="s">
        <v>146</v>
      </c>
      <c r="C72" s="236" t="s">
        <v>111</v>
      </c>
      <c r="D72" s="173">
        <v>13649.950980392156</v>
      </c>
      <c r="E72" s="173">
        <f>13.9397304467675*1000</f>
        <v>13939.7304467675</v>
      </c>
      <c r="F72" s="171">
        <v>13649.950980392156</v>
      </c>
      <c r="G72" s="173"/>
      <c r="H72" s="173">
        <v>15522.70506675452</v>
      </c>
      <c r="I72" s="190">
        <f>(I19+I50)*1000/12/I71</f>
        <v>15534.391850359745</v>
      </c>
      <c r="J72" s="199">
        <f t="shared" si="1"/>
        <v>1.1380547719676464</v>
      </c>
      <c r="K72" s="176"/>
    </row>
    <row r="73" spans="1:11" s="149" customFormat="1" ht="15.75">
      <c r="A73" s="149">
        <f t="shared" si="2"/>
        <v>3500</v>
      </c>
      <c r="B73" s="169" t="s">
        <v>112</v>
      </c>
      <c r="C73" s="236" t="s">
        <v>113</v>
      </c>
      <c r="D73" s="173">
        <v>3754.5</v>
      </c>
      <c r="E73" s="171">
        <f>+H73</f>
        <v>3500</v>
      </c>
      <c r="F73" s="171">
        <f>E73</f>
        <v>3500</v>
      </c>
      <c r="G73" s="177"/>
      <c r="H73" s="173">
        <v>3500</v>
      </c>
      <c r="I73" s="190">
        <f>H73</f>
        <v>3500</v>
      </c>
      <c r="J73" s="199">
        <f t="shared" si="1"/>
        <v>1</v>
      </c>
      <c r="K73" s="176"/>
    </row>
    <row r="74" spans="1:9" s="6" customFormat="1" ht="11.25">
      <c r="A74" s="6">
        <f>IF($A$1=1,SUM(I74),SUM(H74))</f>
        <v>0</v>
      </c>
      <c r="B74" s="124"/>
      <c r="D74" s="125"/>
      <c r="E74" s="125"/>
      <c r="F74" s="125"/>
      <c r="G74" s="125"/>
      <c r="H74" s="125"/>
      <c r="I74" s="125"/>
    </row>
    <row r="75" spans="1:10" s="32" customFormat="1" ht="15.75">
      <c r="A75" s="237"/>
      <c r="B75" s="238"/>
      <c r="C75" s="293" t="s">
        <v>147</v>
      </c>
      <c r="D75" s="293"/>
      <c r="E75" s="293"/>
      <c r="F75" s="293"/>
      <c r="G75" s="293"/>
      <c r="H75" s="293"/>
      <c r="I75" s="293"/>
      <c r="J75" s="239"/>
    </row>
    <row r="76" spans="1:10" s="32" customFormat="1" ht="29.25" customHeight="1">
      <c r="A76" s="237"/>
      <c r="B76" s="238"/>
      <c r="C76" s="240"/>
      <c r="D76" s="241"/>
      <c r="E76" s="242"/>
      <c r="F76" s="243"/>
      <c r="G76" s="243"/>
      <c r="H76" s="244"/>
      <c r="I76" s="245"/>
      <c r="J76" s="239"/>
    </row>
    <row r="77" spans="2:10" s="130" customFormat="1" ht="15">
      <c r="B77" s="126"/>
      <c r="C77" s="246" t="s">
        <v>148</v>
      </c>
      <c r="D77" s="128"/>
      <c r="E77" s="129" t="s">
        <v>115</v>
      </c>
      <c r="F77" s="294" t="s">
        <v>149</v>
      </c>
      <c r="G77" s="294"/>
      <c r="H77" s="294"/>
      <c r="I77" s="247" t="s">
        <v>150</v>
      </c>
      <c r="J77" s="247"/>
    </row>
    <row r="78" spans="2:10" s="137" customFormat="1" ht="11.25">
      <c r="B78" s="131"/>
      <c r="C78" s="248" t="s">
        <v>151</v>
      </c>
      <c r="D78" s="133"/>
      <c r="E78" s="134" t="s">
        <v>117</v>
      </c>
      <c r="F78" s="135"/>
      <c r="G78" s="249"/>
      <c r="H78" s="250"/>
      <c r="I78" s="251" t="s">
        <v>152</v>
      </c>
      <c r="J78" s="136"/>
    </row>
    <row r="79" ht="11.25">
      <c r="A79" s="252">
        <f t="shared" si="2"/>
        <v>0</v>
      </c>
    </row>
    <row r="80" ht="11.25">
      <c r="A80" s="252">
        <f t="shared" si="2"/>
        <v>0</v>
      </c>
    </row>
    <row r="81" ht="11.25">
      <c r="A81" s="252">
        <f t="shared" si="2"/>
        <v>0</v>
      </c>
    </row>
    <row r="82" ht="11.25">
      <c r="A82" s="254"/>
    </row>
    <row r="84" ht="11.25">
      <c r="C84" s="252" t="s">
        <v>153</v>
      </c>
    </row>
  </sheetData>
  <sheetProtection/>
  <mergeCells count="12">
    <mergeCell ref="C75:I75"/>
    <mergeCell ref="F77:H77"/>
    <mergeCell ref="B2:I3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/>
  <pageMargins left="0.9448818897637796" right="0.2362204724409449" top="0.3937007874015748" bottom="0.03937007874015748" header="0.2362204724409449" footer="0.2362204724409449"/>
  <pageSetup horizontalDpi="300" verticalDpi="300" orientation="portrait" paperSize="9" scale="75" r:id="rId1"/>
  <rowBreaks count="1" manualBreakCount="1">
    <brk id="78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82"/>
  <sheetViews>
    <sheetView showGridLines="0" showZeros="0" zoomScalePageLayoutView="0" workbookViewId="0" topLeftCell="A1">
      <pane xSplit="3" ySplit="7" topLeftCell="E28" activePane="bottomRight" state="frozen"/>
      <selection pane="topLeft" activeCell="A9" sqref="A9"/>
      <selection pane="topRight" activeCell="A9" sqref="A9"/>
      <selection pane="bottomLeft" activeCell="A9" sqref="A9"/>
      <selection pane="bottomRight" activeCell="O55" sqref="O55"/>
    </sheetView>
  </sheetViews>
  <sheetFormatPr defaultColWidth="9.140625" defaultRowHeight="15" outlineLevelCol="1"/>
  <cols>
    <col min="1" max="1" width="8.7109375" style="6" hidden="1" customWidth="1"/>
    <col min="2" max="2" width="6.421875" style="124" customWidth="1"/>
    <col min="3" max="3" width="51.28125" style="6" customWidth="1"/>
    <col min="4" max="4" width="11.57421875" style="125" hidden="1" customWidth="1"/>
    <col min="5" max="5" width="15.8515625" style="125" customWidth="1"/>
    <col min="6" max="6" width="11.57421875" style="125" hidden="1" customWidth="1"/>
    <col min="7" max="7" width="12.7109375" style="125" hidden="1" customWidth="1" outlineLevel="1"/>
    <col min="8" max="8" width="15.00390625" style="125" hidden="1" customWidth="1"/>
    <col min="9" max="9" width="13.421875" style="125" hidden="1" customWidth="1"/>
    <col min="10" max="18" width="9.140625" style="6" customWidth="1"/>
    <col min="20" max="16384" width="9.140625" style="6" customWidth="1"/>
  </cols>
  <sheetData>
    <row r="1" spans="2:16" ht="15.75" thickBot="1">
      <c r="B1" s="7" t="s">
        <v>154</v>
      </c>
      <c r="C1" s="8"/>
      <c r="D1" s="9" t="s">
        <v>8</v>
      </c>
      <c r="E1" s="10" t="str">
        <f>'[21]Анкета'!C9</f>
        <v>г. Томск</v>
      </c>
      <c r="F1" s="9"/>
      <c r="G1" s="6" t="str">
        <f>'[21]Анкета'!C8</f>
        <v>г. Томск</v>
      </c>
      <c r="H1" s="9" t="s">
        <v>9</v>
      </c>
      <c r="I1" s="6"/>
      <c r="J1" s="11" t="s">
        <v>10</v>
      </c>
      <c r="K1" s="12"/>
      <c r="L1" s="12"/>
      <c r="M1" s="12"/>
      <c r="O1" s="12"/>
      <c r="P1" s="13"/>
    </row>
    <row r="2" spans="2:8" s="14" customFormat="1" ht="18.75">
      <c r="B2" s="15" t="s">
        <v>11</v>
      </c>
      <c r="C2" s="16"/>
      <c r="D2" s="9"/>
      <c r="E2" s="17"/>
      <c r="F2" s="9"/>
      <c r="G2" s="16"/>
      <c r="H2" s="18" t="s">
        <v>6</v>
      </c>
    </row>
    <row r="3" spans="1:9" s="23" customFormat="1" ht="14.25" thickBot="1">
      <c r="A3" s="19"/>
      <c r="B3" s="20"/>
      <c r="C3" s="20"/>
      <c r="D3" s="9"/>
      <c r="E3" s="21"/>
      <c r="F3" s="9"/>
      <c r="G3" s="21"/>
      <c r="H3" s="22" t="s">
        <v>12</v>
      </c>
      <c r="I3" s="19"/>
    </row>
    <row r="4" spans="1:9" ht="15">
      <c r="A4" s="299" t="s">
        <v>13</v>
      </c>
      <c r="B4" s="301" t="s">
        <v>14</v>
      </c>
      <c r="C4" s="301" t="s">
        <v>15</v>
      </c>
      <c r="D4" s="295" t="str">
        <f>'[21]Заголовок'!B7</f>
        <v>2011 утверждено</v>
      </c>
      <c r="E4" s="295" t="str">
        <f>'[21]Заголовок'!C7</f>
        <v>2011 факт</v>
      </c>
      <c r="F4" s="295" t="str">
        <f>"План на "&amp;'[21]Заголовок'!B4&amp;" год"</f>
        <v>План на 2012 год</v>
      </c>
      <c r="G4" s="295" t="str">
        <f>"Ожид. на "&amp;'[21]Заголовок'!B4&amp;" год ОРГ"</f>
        <v>Ожид. на 2012 год ОРГ</v>
      </c>
      <c r="H4" s="295" t="str">
        <f>'[21]Заголовок'!F9</f>
        <v>Период регулирования 2013 год</v>
      </c>
      <c r="I4" s="295" t="str">
        <f>H4</f>
        <v>Период регулирования 2013 год</v>
      </c>
    </row>
    <row r="5" spans="1:9" ht="15">
      <c r="A5" s="300"/>
      <c r="B5" s="301"/>
      <c r="C5" s="301"/>
      <c r="D5" s="296"/>
      <c r="E5" s="296"/>
      <c r="F5" s="296"/>
      <c r="G5" s="296"/>
      <c r="H5" s="296"/>
      <c r="I5" s="296"/>
    </row>
    <row r="6" spans="1:9" ht="15">
      <c r="A6" s="300"/>
      <c r="B6" s="301"/>
      <c r="C6" s="301"/>
      <c r="D6" s="297"/>
      <c r="E6" s="297"/>
      <c r="F6" s="297"/>
      <c r="G6" s="297"/>
      <c r="H6" s="297"/>
      <c r="I6" s="297"/>
    </row>
    <row r="7" spans="2:9" ht="15">
      <c r="B7" s="24">
        <v>1</v>
      </c>
      <c r="C7" s="24">
        <f>B7+1</f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5">
        <v>8</v>
      </c>
    </row>
    <row r="8" spans="1:9" s="32" customFormat="1" ht="12.75">
      <c r="A8" s="6">
        <f aca="true" t="shared" si="0" ref="A8:A55">IF($B$1=1,SUM(I8),SUM(H8))</f>
        <v>0</v>
      </c>
      <c r="B8" s="26" t="s">
        <v>16</v>
      </c>
      <c r="C8" s="27" t="s">
        <v>17</v>
      </c>
      <c r="D8" s="28"/>
      <c r="E8" s="29">
        <v>4711.57973</v>
      </c>
      <c r="F8" s="28"/>
      <c r="G8" s="28"/>
      <c r="H8" s="30">
        <v>0</v>
      </c>
      <c r="I8" s="31"/>
    </row>
    <row r="9" spans="1:9" s="32" customFormat="1" ht="12.75">
      <c r="A9" s="6">
        <f t="shared" si="0"/>
        <v>0</v>
      </c>
      <c r="B9" s="26" t="s">
        <v>18</v>
      </c>
      <c r="C9" s="27" t="s">
        <v>19</v>
      </c>
      <c r="D9" s="28"/>
      <c r="E9" s="33">
        <v>236.98722811690527</v>
      </c>
      <c r="F9" s="28"/>
      <c r="G9" s="28"/>
      <c r="H9" s="30">
        <v>0</v>
      </c>
      <c r="I9" s="31"/>
    </row>
    <row r="10" spans="1:9" s="38" customFormat="1" ht="25.5">
      <c r="A10" s="6">
        <f t="shared" si="0"/>
        <v>0</v>
      </c>
      <c r="B10" s="34" t="s">
        <v>20</v>
      </c>
      <c r="C10" s="35" t="s">
        <v>21</v>
      </c>
      <c r="D10" s="36">
        <f>D11+D12+D15</f>
        <v>0</v>
      </c>
      <c r="E10" s="37">
        <f>E11+E12+E15</f>
        <v>1478.3530401207577</v>
      </c>
      <c r="F10" s="36">
        <f>F11+F12+F15</f>
        <v>0</v>
      </c>
      <c r="G10" s="36">
        <f>G11+G12+G15</f>
        <v>0</v>
      </c>
      <c r="H10" s="36">
        <f>H11+H12+H15</f>
        <v>0</v>
      </c>
      <c r="I10" s="36">
        <f>I11+I12</f>
        <v>0</v>
      </c>
    </row>
    <row r="11" spans="1:9" s="32" customFormat="1" ht="12.75">
      <c r="A11" s="6">
        <f t="shared" si="0"/>
        <v>0</v>
      </c>
      <c r="B11" s="26" t="s">
        <v>22</v>
      </c>
      <c r="C11" s="39" t="s">
        <v>23</v>
      </c>
      <c r="D11" s="28"/>
      <c r="E11" s="255">
        <v>763.41178</v>
      </c>
      <c r="F11" s="28"/>
      <c r="G11" s="28"/>
      <c r="H11" s="41"/>
      <c r="I11" s="42"/>
    </row>
    <row r="12" spans="1:9" s="32" customFormat="1" ht="25.5">
      <c r="A12" s="6">
        <f t="shared" si="0"/>
        <v>0</v>
      </c>
      <c r="B12" s="43" t="s">
        <v>24</v>
      </c>
      <c r="C12" s="44" t="s">
        <v>25</v>
      </c>
      <c r="D12" s="45">
        <f aca="true" t="shared" si="1" ref="D12:I12">SUM(D13:D14)</f>
        <v>0</v>
      </c>
      <c r="E12" s="46">
        <f t="shared" si="1"/>
        <v>483.56626012075753</v>
      </c>
      <c r="F12" s="45">
        <f t="shared" si="1"/>
        <v>0</v>
      </c>
      <c r="G12" s="45">
        <f t="shared" si="1"/>
        <v>0</v>
      </c>
      <c r="H12" s="45">
        <f t="shared" si="1"/>
        <v>0</v>
      </c>
      <c r="I12" s="45">
        <f t="shared" si="1"/>
        <v>0</v>
      </c>
    </row>
    <row r="13" spans="1:9" s="32" customFormat="1" ht="12.75">
      <c r="A13" s="6">
        <f t="shared" si="0"/>
        <v>0</v>
      </c>
      <c r="B13" s="43" t="s">
        <v>26</v>
      </c>
      <c r="C13" s="44" t="s">
        <v>27</v>
      </c>
      <c r="D13" s="28"/>
      <c r="E13" s="46">
        <v>483.56626012075753</v>
      </c>
      <c r="F13" s="28"/>
      <c r="G13" s="28"/>
      <c r="H13" s="30">
        <v>0</v>
      </c>
      <c r="I13" s="47"/>
    </row>
    <row r="14" spans="1:9" s="32" customFormat="1" ht="12.75">
      <c r="A14" s="6">
        <f t="shared" si="0"/>
        <v>0</v>
      </c>
      <c r="B14" s="48" t="s">
        <v>28</v>
      </c>
      <c r="C14" s="44" t="s">
        <v>29</v>
      </c>
      <c r="D14" s="28"/>
      <c r="E14" s="46"/>
      <c r="F14" s="28"/>
      <c r="G14" s="28"/>
      <c r="H14" s="30">
        <v>0</v>
      </c>
      <c r="I14" s="47"/>
    </row>
    <row r="15" spans="1:9" s="32" customFormat="1" ht="12.75">
      <c r="A15" s="6">
        <f t="shared" si="0"/>
        <v>0</v>
      </c>
      <c r="B15" s="48" t="s">
        <v>30</v>
      </c>
      <c r="C15" s="44" t="s">
        <v>31</v>
      </c>
      <c r="D15" s="49"/>
      <c r="E15" s="50">
        <v>231.375</v>
      </c>
      <c r="F15" s="51"/>
      <c r="G15" s="51"/>
      <c r="H15" s="52">
        <v>0</v>
      </c>
      <c r="I15" s="53"/>
    </row>
    <row r="16" spans="1:9" s="32" customFormat="1" ht="12.75">
      <c r="A16" s="6">
        <f t="shared" si="0"/>
        <v>0</v>
      </c>
      <c r="B16" s="43" t="s">
        <v>32</v>
      </c>
      <c r="C16" s="54" t="s">
        <v>33</v>
      </c>
      <c r="D16" s="28"/>
      <c r="E16" s="46">
        <f>E17</f>
        <v>0</v>
      </c>
      <c r="F16" s="28"/>
      <c r="G16" s="28"/>
      <c r="H16" s="55">
        <f>H17</f>
        <v>0</v>
      </c>
      <c r="I16" s="56"/>
    </row>
    <row r="17" spans="1:9" s="32" customFormat="1" ht="12.75">
      <c r="A17" s="6">
        <f t="shared" si="0"/>
        <v>0</v>
      </c>
      <c r="B17" s="26" t="s">
        <v>34</v>
      </c>
      <c r="C17" s="57" t="s">
        <v>35</v>
      </c>
      <c r="D17" s="28"/>
      <c r="E17" s="58"/>
      <c r="F17" s="28"/>
      <c r="G17" s="28"/>
      <c r="H17" s="41"/>
      <c r="I17" s="41"/>
    </row>
    <row r="18" spans="1:9" s="32" customFormat="1" ht="12.75">
      <c r="A18" s="6">
        <f t="shared" si="0"/>
        <v>0</v>
      </c>
      <c r="B18" s="26" t="s">
        <v>36</v>
      </c>
      <c r="C18" s="59" t="s">
        <v>37</v>
      </c>
      <c r="D18" s="60"/>
      <c r="E18" s="33">
        <v>3066.523813122119</v>
      </c>
      <c r="F18" s="60"/>
      <c r="G18" s="60"/>
      <c r="H18" s="30">
        <v>0</v>
      </c>
      <c r="I18" s="31"/>
    </row>
    <row r="19" spans="1:9" s="32" customFormat="1" ht="12.75">
      <c r="A19" s="6">
        <f t="shared" si="0"/>
        <v>0</v>
      </c>
      <c r="B19" s="26" t="s">
        <v>38</v>
      </c>
      <c r="C19" s="61" t="s">
        <v>39</v>
      </c>
      <c r="D19" s="62">
        <f>D18*D21</f>
        <v>0</v>
      </c>
      <c r="E19" s="40">
        <v>1021.568921954951</v>
      </c>
      <c r="F19" s="62">
        <f>F18*F21</f>
        <v>0</v>
      </c>
      <c r="G19" s="63">
        <f>G18*G21</f>
        <v>0</v>
      </c>
      <c r="H19" s="63">
        <f>H18*H21</f>
        <v>0</v>
      </c>
      <c r="I19" s="63">
        <f>I18*I21</f>
        <v>0</v>
      </c>
    </row>
    <row r="20" spans="1:9" s="32" customFormat="1" ht="25.5">
      <c r="A20" s="6">
        <f t="shared" si="0"/>
        <v>0</v>
      </c>
      <c r="B20" s="26" t="s">
        <v>40</v>
      </c>
      <c r="C20" s="64" t="s">
        <v>41</v>
      </c>
      <c r="D20" s="65">
        <f>D18*D22</f>
        <v>0</v>
      </c>
      <c r="E20" s="58">
        <v>12.853140000000002</v>
      </c>
      <c r="F20" s="65">
        <f>F18*F22</f>
        <v>0</v>
      </c>
      <c r="G20" s="63">
        <f>G18*G22</f>
        <v>0</v>
      </c>
      <c r="H20" s="63">
        <f>H18*H22</f>
        <v>0</v>
      </c>
      <c r="I20" s="63">
        <f>I18*I22</f>
        <v>0</v>
      </c>
    </row>
    <row r="21" spans="1:9" s="32" customFormat="1" ht="12.75">
      <c r="A21" s="66">
        <f t="shared" si="0"/>
        <v>0</v>
      </c>
      <c r="B21" s="26" t="s">
        <v>42</v>
      </c>
      <c r="C21" s="61" t="s">
        <v>43</v>
      </c>
      <c r="D21" s="67"/>
      <c r="E21" s="68">
        <f>IF(E18=0,0,E19/E18)</f>
        <v>0.33313581899592726</v>
      </c>
      <c r="F21" s="67"/>
      <c r="G21" s="67"/>
      <c r="H21" s="67"/>
      <c r="I21" s="67">
        <v>0.34</v>
      </c>
    </row>
    <row r="22" spans="1:9" s="32" customFormat="1" ht="12.75">
      <c r="A22" s="69">
        <f t="shared" si="0"/>
        <v>0</v>
      </c>
      <c r="B22" s="26" t="s">
        <v>44</v>
      </c>
      <c r="C22" s="61" t="s">
        <v>45</v>
      </c>
      <c r="D22" s="67"/>
      <c r="E22" s="68">
        <f>IF(E18=0,0,E20/E18)</f>
        <v>0.004191436552685315</v>
      </c>
      <c r="F22" s="67"/>
      <c r="G22" s="67"/>
      <c r="H22" s="67"/>
      <c r="I22" s="67">
        <f>H22</f>
        <v>0</v>
      </c>
    </row>
    <row r="23" spans="1:9" s="32" customFormat="1" ht="12.75">
      <c r="A23" s="70">
        <f t="shared" si="0"/>
        <v>0</v>
      </c>
      <c r="B23" s="26" t="s">
        <v>46</v>
      </c>
      <c r="C23" s="59" t="s">
        <v>47</v>
      </c>
      <c r="D23" s="55">
        <v>0</v>
      </c>
      <c r="E23" s="71">
        <v>1363.2854899999998</v>
      </c>
      <c r="F23" s="72">
        <v>0</v>
      </c>
      <c r="G23" s="72">
        <v>0</v>
      </c>
      <c r="H23" s="72">
        <v>0</v>
      </c>
      <c r="I23" s="73"/>
    </row>
    <row r="24" spans="1:9" s="32" customFormat="1" ht="12.75" hidden="1">
      <c r="A24" s="6">
        <f t="shared" si="0"/>
        <v>0</v>
      </c>
      <c r="B24" s="26"/>
      <c r="C24" s="74" t="s">
        <v>48</v>
      </c>
      <c r="D24" s="60"/>
      <c r="E24" s="75">
        <f>'[21]1 к 1.17.'!H6</f>
        <v>0</v>
      </c>
      <c r="F24" s="76">
        <f>'[21]1 к 1.17.'!I6</f>
        <v>0</v>
      </c>
      <c r="G24" s="76">
        <f>'[21]1 к 1.17.'!J6</f>
        <v>0</v>
      </c>
      <c r="H24" s="76">
        <f>'[21]1 к 1.17.'!K6</f>
        <v>0</v>
      </c>
      <c r="I24" s="73"/>
    </row>
    <row r="25" spans="1:9" s="32" customFormat="1" ht="12.75" hidden="1">
      <c r="A25" s="6">
        <f t="shared" si="0"/>
        <v>0</v>
      </c>
      <c r="B25" s="26"/>
      <c r="C25" s="74" t="s">
        <v>49</v>
      </c>
      <c r="D25" s="60"/>
      <c r="E25" s="75">
        <f>'[21]1 к 1.17.'!H7</f>
        <v>0</v>
      </c>
      <c r="F25" s="76">
        <f>'[21]1 к 1.17.'!I7</f>
        <v>0</v>
      </c>
      <c r="G25" s="76">
        <f>'[21]1 к 1.17.'!J7</f>
        <v>0</v>
      </c>
      <c r="H25" s="76">
        <f>'[21]1 к 1.17.'!K7</f>
        <v>0</v>
      </c>
      <c r="I25" s="56"/>
    </row>
    <row r="26" spans="1:9" s="32" customFormat="1" ht="12.75" hidden="1">
      <c r="A26" s="6">
        <f t="shared" si="0"/>
        <v>0</v>
      </c>
      <c r="B26" s="26"/>
      <c r="C26" s="74" t="s">
        <v>50</v>
      </c>
      <c r="D26" s="60"/>
      <c r="E26" s="75">
        <f>'[21]1 к 1.17.'!H8</f>
        <v>0</v>
      </c>
      <c r="F26" s="76">
        <f>'[21]1 к 1.17.'!I8</f>
        <v>0</v>
      </c>
      <c r="G26" s="76">
        <f>'[21]1 к 1.17.'!J8</f>
        <v>0</v>
      </c>
      <c r="H26" s="76">
        <f>'[21]1 к 1.17.'!K8</f>
        <v>0</v>
      </c>
      <c r="I26" s="56"/>
    </row>
    <row r="27" spans="1:9" s="32" customFormat="1" ht="12.75" hidden="1">
      <c r="A27" s="6">
        <f t="shared" si="0"/>
        <v>0</v>
      </c>
      <c r="B27" s="26"/>
      <c r="C27" s="74" t="s">
        <v>51</v>
      </c>
      <c r="D27" s="60"/>
      <c r="E27" s="75">
        <f>'[21]1 к 1.17.'!H9</f>
        <v>0</v>
      </c>
      <c r="F27" s="76">
        <f>'[21]1 к 1.17.'!I9</f>
        <v>0</v>
      </c>
      <c r="G27" s="76">
        <f>'[21]1 к 1.17.'!J9</f>
        <v>0</v>
      </c>
      <c r="H27" s="76">
        <f>'[21]1 к 1.17.'!K9</f>
        <v>0</v>
      </c>
      <c r="I27" s="56"/>
    </row>
    <row r="28" spans="1:9" s="32" customFormat="1" ht="12.75">
      <c r="A28" s="6">
        <f t="shared" si="0"/>
        <v>0</v>
      </c>
      <c r="B28" s="26" t="s">
        <v>52</v>
      </c>
      <c r="C28" s="77" t="s">
        <v>53</v>
      </c>
      <c r="D28" s="28"/>
      <c r="E28" s="58"/>
      <c r="F28" s="28"/>
      <c r="G28" s="28"/>
      <c r="H28" s="41"/>
      <c r="I28" s="56"/>
    </row>
    <row r="29" spans="1:9" s="32" customFormat="1" ht="12.75">
      <c r="A29" s="6">
        <f t="shared" si="0"/>
        <v>0</v>
      </c>
      <c r="B29" s="26" t="s">
        <v>54</v>
      </c>
      <c r="C29" s="77" t="s">
        <v>55</v>
      </c>
      <c r="D29" s="45">
        <f aca="true" t="shared" si="2" ref="D29:I29">D30+D31+D32+D37+D38+D43+D44+D45</f>
        <v>0</v>
      </c>
      <c r="E29" s="78">
        <f t="shared" si="2"/>
        <v>4002.25445564891</v>
      </c>
      <c r="F29" s="45">
        <f t="shared" si="2"/>
        <v>0</v>
      </c>
      <c r="G29" s="45">
        <f t="shared" si="2"/>
        <v>0</v>
      </c>
      <c r="H29" s="45">
        <f t="shared" si="2"/>
        <v>0</v>
      </c>
      <c r="I29" s="45">
        <f t="shared" si="2"/>
        <v>0</v>
      </c>
    </row>
    <row r="30" spans="1:9" s="32" customFormat="1" ht="25.5" hidden="1">
      <c r="A30" s="6">
        <f t="shared" si="0"/>
        <v>0</v>
      </c>
      <c r="B30" s="26" t="s">
        <v>56</v>
      </c>
      <c r="C30" s="79" t="s">
        <v>57</v>
      </c>
      <c r="D30" s="28"/>
      <c r="E30" s="46">
        <v>15.356</v>
      </c>
      <c r="F30" s="55">
        <v>0</v>
      </c>
      <c r="G30" s="55">
        <v>0</v>
      </c>
      <c r="H30" s="30">
        <v>0</v>
      </c>
      <c r="I30" s="56"/>
    </row>
    <row r="31" spans="1:9" s="32" customFormat="1" ht="12.75">
      <c r="A31" s="6">
        <f t="shared" si="0"/>
        <v>0</v>
      </c>
      <c r="B31" s="26" t="s">
        <v>56</v>
      </c>
      <c r="C31" s="80" t="s">
        <v>58</v>
      </c>
      <c r="D31" s="28"/>
      <c r="E31" s="46">
        <v>1.03047</v>
      </c>
      <c r="F31" s="55">
        <v>0</v>
      </c>
      <c r="G31" s="55">
        <v>0</v>
      </c>
      <c r="H31" s="30">
        <v>0</v>
      </c>
      <c r="I31" s="56"/>
    </row>
    <row r="32" spans="1:9" s="32" customFormat="1" ht="12.75">
      <c r="A32" s="6">
        <f t="shared" si="0"/>
        <v>0</v>
      </c>
      <c r="B32" s="26" t="s">
        <v>59</v>
      </c>
      <c r="C32" s="80" t="s">
        <v>60</v>
      </c>
      <c r="D32" s="28">
        <f>D33+D34+D35+D36</f>
        <v>0</v>
      </c>
      <c r="E32" s="46">
        <v>160.896</v>
      </c>
      <c r="F32" s="55">
        <v>0</v>
      </c>
      <c r="G32" s="55">
        <v>0</v>
      </c>
      <c r="H32" s="30">
        <v>0</v>
      </c>
      <c r="I32" s="56"/>
    </row>
    <row r="33" spans="1:9" s="32" customFormat="1" ht="12.75" hidden="1">
      <c r="A33" s="6">
        <f t="shared" si="0"/>
        <v>0</v>
      </c>
      <c r="B33" s="26"/>
      <c r="C33" s="74" t="s">
        <v>48</v>
      </c>
      <c r="D33" s="28"/>
      <c r="E33" s="46">
        <v>160.896</v>
      </c>
      <c r="F33" s="55">
        <v>0</v>
      </c>
      <c r="G33" s="55">
        <v>0</v>
      </c>
      <c r="H33" s="30">
        <v>0</v>
      </c>
      <c r="I33" s="56"/>
    </row>
    <row r="34" spans="1:9" s="32" customFormat="1" ht="12.75" hidden="1">
      <c r="A34" s="6">
        <f t="shared" si="0"/>
        <v>0</v>
      </c>
      <c r="B34" s="26"/>
      <c r="C34" s="74" t="s">
        <v>49</v>
      </c>
      <c r="D34" s="28"/>
      <c r="E34" s="46">
        <v>0</v>
      </c>
      <c r="F34" s="55">
        <v>0</v>
      </c>
      <c r="G34" s="55">
        <v>0</v>
      </c>
      <c r="H34" s="30">
        <v>0</v>
      </c>
      <c r="I34" s="56"/>
    </row>
    <row r="35" spans="1:9" s="32" customFormat="1" ht="12.75" hidden="1">
      <c r="A35" s="6">
        <f t="shared" si="0"/>
        <v>0</v>
      </c>
      <c r="B35" s="26"/>
      <c r="C35" s="74" t="s">
        <v>50</v>
      </c>
      <c r="D35" s="28"/>
      <c r="E35" s="46">
        <v>0</v>
      </c>
      <c r="F35" s="55">
        <v>0</v>
      </c>
      <c r="G35" s="55">
        <v>0</v>
      </c>
      <c r="H35" s="30">
        <v>0</v>
      </c>
      <c r="I35" s="56"/>
    </row>
    <row r="36" spans="1:9" s="32" customFormat="1" ht="12.75" hidden="1">
      <c r="A36" s="6">
        <f t="shared" si="0"/>
        <v>0</v>
      </c>
      <c r="B36" s="26"/>
      <c r="C36" s="74" t="s">
        <v>51</v>
      </c>
      <c r="D36" s="28"/>
      <c r="E36" s="46">
        <v>0</v>
      </c>
      <c r="F36" s="55">
        <v>0</v>
      </c>
      <c r="G36" s="55">
        <v>0</v>
      </c>
      <c r="H36" s="30">
        <v>0</v>
      </c>
      <c r="I36" s="56"/>
    </row>
    <row r="37" spans="1:9" s="32" customFormat="1" ht="12.75">
      <c r="A37" s="6">
        <f t="shared" si="0"/>
        <v>0</v>
      </c>
      <c r="B37" s="26" t="s">
        <v>61</v>
      </c>
      <c r="C37" s="80" t="s">
        <v>62</v>
      </c>
      <c r="D37" s="28"/>
      <c r="E37" s="46">
        <v>0</v>
      </c>
      <c r="F37" s="55">
        <v>0</v>
      </c>
      <c r="G37" s="55">
        <v>0</v>
      </c>
      <c r="H37" s="30">
        <v>0</v>
      </c>
      <c r="I37" s="56"/>
    </row>
    <row r="38" spans="1:9" s="32" customFormat="1" ht="12.75">
      <c r="A38" s="6">
        <f t="shared" si="0"/>
        <v>0</v>
      </c>
      <c r="B38" s="26" t="s">
        <v>63</v>
      </c>
      <c r="C38" s="80" t="s">
        <v>7</v>
      </c>
      <c r="D38" s="28">
        <f>D39+D40+D41+D42</f>
        <v>0</v>
      </c>
      <c r="E38" s="46">
        <v>0</v>
      </c>
      <c r="F38" s="55">
        <v>0</v>
      </c>
      <c r="G38" s="55">
        <v>0</v>
      </c>
      <c r="H38" s="30">
        <v>0</v>
      </c>
      <c r="I38" s="56"/>
    </row>
    <row r="39" spans="1:9" s="32" customFormat="1" ht="12.75" hidden="1">
      <c r="A39" s="6">
        <f t="shared" si="0"/>
        <v>0</v>
      </c>
      <c r="B39" s="26"/>
      <c r="C39" s="74" t="s">
        <v>48</v>
      </c>
      <c r="D39" s="28"/>
      <c r="E39" s="46">
        <v>0</v>
      </c>
      <c r="F39" s="55">
        <v>0</v>
      </c>
      <c r="G39" s="55">
        <v>0</v>
      </c>
      <c r="H39" s="30">
        <v>0</v>
      </c>
      <c r="I39" s="56"/>
    </row>
    <row r="40" spans="1:9" s="32" customFormat="1" ht="12.75" hidden="1">
      <c r="A40" s="6">
        <f t="shared" si="0"/>
        <v>0</v>
      </c>
      <c r="B40" s="26"/>
      <c r="C40" s="74" t="s">
        <v>49</v>
      </c>
      <c r="D40" s="28"/>
      <c r="E40" s="46">
        <v>0</v>
      </c>
      <c r="F40" s="55">
        <v>0</v>
      </c>
      <c r="G40" s="55">
        <v>0</v>
      </c>
      <c r="H40" s="30">
        <v>0</v>
      </c>
      <c r="I40" s="56"/>
    </row>
    <row r="41" spans="1:9" s="32" customFormat="1" ht="12.75" hidden="1">
      <c r="A41" s="6">
        <f t="shared" si="0"/>
        <v>0</v>
      </c>
      <c r="B41" s="26"/>
      <c r="C41" s="74" t="s">
        <v>50</v>
      </c>
      <c r="D41" s="28"/>
      <c r="E41" s="46">
        <v>0</v>
      </c>
      <c r="F41" s="55">
        <v>0</v>
      </c>
      <c r="G41" s="55">
        <v>0</v>
      </c>
      <c r="H41" s="30">
        <v>0</v>
      </c>
      <c r="I41" s="56"/>
    </row>
    <row r="42" spans="1:9" s="32" customFormat="1" ht="12.75" hidden="1">
      <c r="A42" s="6">
        <f t="shared" si="0"/>
        <v>0</v>
      </c>
      <c r="B42" s="26"/>
      <c r="C42" s="74" t="s">
        <v>51</v>
      </c>
      <c r="D42" s="28"/>
      <c r="E42" s="46">
        <v>0</v>
      </c>
      <c r="F42" s="55">
        <v>0</v>
      </c>
      <c r="G42" s="55">
        <v>0</v>
      </c>
      <c r="H42" s="30">
        <v>0</v>
      </c>
      <c r="I42" s="56"/>
    </row>
    <row r="43" spans="1:9" s="32" customFormat="1" ht="12.75">
      <c r="A43" s="6">
        <f t="shared" si="0"/>
        <v>0</v>
      </c>
      <c r="B43" s="26" t="s">
        <v>64</v>
      </c>
      <c r="C43" s="80" t="s">
        <v>65</v>
      </c>
      <c r="D43" s="28"/>
      <c r="E43" s="46">
        <v>120.23406999999999</v>
      </c>
      <c r="F43" s="55">
        <v>0</v>
      </c>
      <c r="G43" s="55">
        <v>0</v>
      </c>
      <c r="H43" s="30">
        <v>0</v>
      </c>
      <c r="I43" s="56"/>
    </row>
    <row r="44" spans="1:9" s="32" customFormat="1" ht="12.75">
      <c r="A44" s="6">
        <f t="shared" si="0"/>
        <v>0</v>
      </c>
      <c r="B44" s="26" t="s">
        <v>66</v>
      </c>
      <c r="C44" s="80" t="s">
        <v>67</v>
      </c>
      <c r="D44" s="28"/>
      <c r="E44" s="46">
        <v>0</v>
      </c>
      <c r="F44" s="55">
        <v>0</v>
      </c>
      <c r="G44" s="55">
        <v>0</v>
      </c>
      <c r="H44" s="30">
        <v>0</v>
      </c>
      <c r="I44" s="56"/>
    </row>
    <row r="45" spans="1:9" s="32" customFormat="1" ht="12.75">
      <c r="A45" s="6">
        <f t="shared" si="0"/>
        <v>0</v>
      </c>
      <c r="B45" s="26" t="s">
        <v>68</v>
      </c>
      <c r="C45" s="80" t="s">
        <v>69</v>
      </c>
      <c r="D45" s="28"/>
      <c r="E45" s="46">
        <v>3704.73791564891</v>
      </c>
      <c r="F45" s="55">
        <v>0</v>
      </c>
      <c r="G45" s="55">
        <v>0</v>
      </c>
      <c r="H45" s="30">
        <v>0</v>
      </c>
      <c r="I45" s="31"/>
    </row>
    <row r="46" spans="1:9" s="32" customFormat="1" ht="12.75">
      <c r="A46" s="6">
        <f t="shared" si="0"/>
        <v>0</v>
      </c>
      <c r="B46" s="81" t="s">
        <v>70</v>
      </c>
      <c r="C46" s="82" t="s">
        <v>71</v>
      </c>
      <c r="D46" s="83">
        <f aca="true" t="shared" si="3" ref="D46:I46">D8+D9+D10+D16+D18+D19+D20+D23+D28+D29</f>
        <v>0</v>
      </c>
      <c r="E46" s="84">
        <f t="shared" si="3"/>
        <v>15893.405818963643</v>
      </c>
      <c r="F46" s="83">
        <f t="shared" si="3"/>
        <v>0</v>
      </c>
      <c r="G46" s="83">
        <f t="shared" si="3"/>
        <v>0</v>
      </c>
      <c r="H46" s="83">
        <f t="shared" si="3"/>
        <v>0</v>
      </c>
      <c r="I46" s="85">
        <f t="shared" si="3"/>
        <v>0</v>
      </c>
    </row>
    <row r="47" spans="1:9" s="32" customFormat="1" ht="12.75">
      <c r="A47" s="6">
        <f t="shared" si="0"/>
        <v>0</v>
      </c>
      <c r="B47" s="26" t="s">
        <v>72</v>
      </c>
      <c r="C47" s="59" t="s">
        <v>73</v>
      </c>
      <c r="D47" s="76">
        <f aca="true" t="shared" si="4" ref="D47:I47">D48+D53+D54-D55</f>
        <v>0</v>
      </c>
      <c r="E47" s="75">
        <f t="shared" si="4"/>
        <v>3026.032204269951</v>
      </c>
      <c r="F47" s="76">
        <f t="shared" si="4"/>
        <v>0</v>
      </c>
      <c r="G47" s="76">
        <f t="shared" si="4"/>
        <v>0</v>
      </c>
      <c r="H47" s="76">
        <f t="shared" si="4"/>
        <v>0</v>
      </c>
      <c r="I47" s="76">
        <f t="shared" si="4"/>
        <v>0</v>
      </c>
    </row>
    <row r="48" spans="1:9" s="32" customFormat="1" ht="12.75">
      <c r="A48" s="6">
        <f t="shared" si="0"/>
        <v>0</v>
      </c>
      <c r="B48" s="26" t="s">
        <v>74</v>
      </c>
      <c r="C48" s="57" t="s">
        <v>75</v>
      </c>
      <c r="D48" s="45">
        <f aca="true" t="shared" si="5" ref="D48:I48">D49+D50+D51+D52</f>
        <v>0</v>
      </c>
      <c r="E48" s="78">
        <f t="shared" si="5"/>
        <v>1503.6504236007863</v>
      </c>
      <c r="F48" s="45">
        <f t="shared" si="5"/>
        <v>0</v>
      </c>
      <c r="G48" s="45">
        <f t="shared" si="5"/>
        <v>0</v>
      </c>
      <c r="H48" s="45">
        <f t="shared" si="5"/>
        <v>0</v>
      </c>
      <c r="I48" s="45">
        <f t="shared" si="5"/>
        <v>0</v>
      </c>
    </row>
    <row r="49" spans="1:9" s="32" customFormat="1" ht="12.75">
      <c r="A49" s="6">
        <f t="shared" si="0"/>
        <v>0</v>
      </c>
      <c r="B49" s="26" t="s">
        <v>76</v>
      </c>
      <c r="C49" s="86" t="s">
        <v>77</v>
      </c>
      <c r="D49" s="51"/>
      <c r="E49" s="46">
        <v>671.3893554986937</v>
      </c>
      <c r="F49" s="51"/>
      <c r="G49" s="51">
        <f>F49</f>
        <v>0</v>
      </c>
      <c r="H49" s="30">
        <v>0</v>
      </c>
      <c r="I49" s="31"/>
    </row>
    <row r="50" spans="1:9" s="32" customFormat="1" ht="12.75">
      <c r="A50" s="6">
        <f t="shared" si="0"/>
        <v>0</v>
      </c>
      <c r="B50" s="26" t="s">
        <v>78</v>
      </c>
      <c r="C50" s="61" t="s">
        <v>79</v>
      </c>
      <c r="D50" s="41">
        <f>D49*D21</f>
        <v>0</v>
      </c>
      <c r="E50" s="87">
        <v>193.73669418503732</v>
      </c>
      <c r="F50" s="41">
        <f>F49*F21</f>
        <v>0</v>
      </c>
      <c r="G50" s="41">
        <f>G49*G21</f>
        <v>0</v>
      </c>
      <c r="H50" s="30">
        <f>H49*H21</f>
        <v>0</v>
      </c>
      <c r="I50" s="30">
        <f>I49*I21</f>
        <v>0</v>
      </c>
    </row>
    <row r="51" spans="1:9" s="32" customFormat="1" ht="25.5">
      <c r="A51" s="6">
        <f t="shared" si="0"/>
        <v>0</v>
      </c>
      <c r="B51" s="26" t="s">
        <v>80</v>
      </c>
      <c r="C51" s="86" t="s">
        <v>41</v>
      </c>
      <c r="D51" s="41">
        <f>D49*D22</f>
        <v>0</v>
      </c>
      <c r="E51" s="88">
        <v>1.25819</v>
      </c>
      <c r="F51" s="41">
        <f>F49*F22</f>
        <v>0</v>
      </c>
      <c r="G51" s="41">
        <f>G49*G22</f>
        <v>0</v>
      </c>
      <c r="H51" s="30">
        <f>H49*H22</f>
        <v>0</v>
      </c>
      <c r="I51" s="30">
        <f>I49*I22</f>
        <v>0</v>
      </c>
    </row>
    <row r="52" spans="1:9" s="32" customFormat="1" ht="12.75">
      <c r="A52" s="6">
        <f t="shared" si="0"/>
        <v>0</v>
      </c>
      <c r="B52" s="26" t="s">
        <v>81</v>
      </c>
      <c r="C52" s="89" t="s">
        <v>82</v>
      </c>
      <c r="D52" s="90"/>
      <c r="E52" s="71">
        <v>637.2661839170553</v>
      </c>
      <c r="F52" s="51"/>
      <c r="G52" s="90">
        <f>F52</f>
        <v>0</v>
      </c>
      <c r="H52" s="30">
        <f>F52*1.054</f>
        <v>0</v>
      </c>
      <c r="I52" s="31"/>
    </row>
    <row r="53" spans="1:9" s="32" customFormat="1" ht="12.75">
      <c r="A53" s="6">
        <f t="shared" si="0"/>
        <v>0</v>
      </c>
      <c r="B53" s="26" t="s">
        <v>83</v>
      </c>
      <c r="C53" s="91" t="s">
        <v>84</v>
      </c>
      <c r="D53" s="28"/>
      <c r="E53" s="46">
        <v>184.91654875916493</v>
      </c>
      <c r="F53" s="28"/>
      <c r="G53" s="28">
        <f>F53</f>
        <v>0</v>
      </c>
      <c r="H53" s="30">
        <v>0</v>
      </c>
      <c r="I53" s="31"/>
    </row>
    <row r="54" spans="1:9" s="32" customFormat="1" ht="12.75">
      <c r="A54" s="6">
        <f t="shared" si="0"/>
        <v>0</v>
      </c>
      <c r="B54" s="26" t="s">
        <v>85</v>
      </c>
      <c r="C54" s="91" t="s">
        <v>86</v>
      </c>
      <c r="D54" s="28"/>
      <c r="E54" s="259">
        <v>1337.4652319099998</v>
      </c>
      <c r="F54" s="28"/>
      <c r="G54" s="28"/>
      <c r="H54" s="41"/>
      <c r="I54" s="56"/>
    </row>
    <row r="55" spans="1:9" s="32" customFormat="1" ht="25.5">
      <c r="A55" s="6">
        <f t="shared" si="0"/>
        <v>0</v>
      </c>
      <c r="B55" s="92" t="s">
        <v>87</v>
      </c>
      <c r="C55" s="91" t="s">
        <v>88</v>
      </c>
      <c r="D55" s="28"/>
      <c r="E55" s="58"/>
      <c r="F55" s="28"/>
      <c r="G55" s="28"/>
      <c r="H55" s="28"/>
      <c r="I55" s="56"/>
    </row>
    <row r="56" spans="1:9" s="32" customFormat="1" ht="12.75">
      <c r="A56" s="6"/>
      <c r="B56" s="93" t="s">
        <v>89</v>
      </c>
      <c r="C56" s="94" t="s">
        <v>90</v>
      </c>
      <c r="D56" s="28"/>
      <c r="E56" s="58"/>
      <c r="F56" s="28"/>
      <c r="G56" s="28"/>
      <c r="H56" s="28"/>
      <c r="I56" s="31"/>
    </row>
    <row r="57" spans="1:9" s="32" customFormat="1" ht="12.75">
      <c r="A57" s="6">
        <f>IF($B$1=1,SUM(I57),SUM(H57))</f>
        <v>0</v>
      </c>
      <c r="B57" s="95" t="s">
        <v>91</v>
      </c>
      <c r="C57" s="96" t="s">
        <v>92</v>
      </c>
      <c r="D57" s="83">
        <f>D46+D47</f>
        <v>0</v>
      </c>
      <c r="E57" s="84">
        <f>E46+E47</f>
        <v>18919.438023233593</v>
      </c>
      <c r="F57" s="83">
        <f>F46+F47+F56</f>
        <v>0</v>
      </c>
      <c r="G57" s="83">
        <f>G46+G47+G56</f>
        <v>0</v>
      </c>
      <c r="H57" s="83">
        <f>H46+H47+H56</f>
        <v>0</v>
      </c>
      <c r="I57" s="83">
        <f>I46+I47+I56</f>
        <v>0</v>
      </c>
    </row>
    <row r="58" spans="1:9" s="32" customFormat="1" ht="12.75">
      <c r="A58" s="6">
        <f>IF($B$1=1,SUM(I58),SUM(H58))</f>
        <v>0</v>
      </c>
      <c r="B58" s="43" t="s">
        <v>93</v>
      </c>
      <c r="C58" s="59" t="s">
        <v>94</v>
      </c>
      <c r="D58" s="55">
        <v>0</v>
      </c>
      <c r="E58" s="46">
        <v>0</v>
      </c>
      <c r="F58" s="55">
        <v>0</v>
      </c>
      <c r="G58" s="55">
        <v>0</v>
      </c>
      <c r="H58" s="30">
        <v>0</v>
      </c>
      <c r="I58" s="31"/>
    </row>
    <row r="59" spans="1:10" s="32" customFormat="1" ht="12.75">
      <c r="A59" s="6">
        <f>IF($B$1=1,SUM(I59),SUM(H59))</f>
        <v>0</v>
      </c>
      <c r="B59" s="95" t="s">
        <v>95</v>
      </c>
      <c r="C59" s="97" t="s">
        <v>96</v>
      </c>
      <c r="D59" s="98">
        <f>SUM(D57:D58)</f>
        <v>0</v>
      </c>
      <c r="E59" s="99">
        <f>SUM(E57:E58)</f>
        <v>18919.438023233593</v>
      </c>
      <c r="F59" s="98">
        <f>SUM(F57:F58)</f>
        <v>0</v>
      </c>
      <c r="G59" s="100">
        <f>G57+G58</f>
        <v>0</v>
      </c>
      <c r="H59" s="100">
        <f>H57+H58</f>
        <v>0</v>
      </c>
      <c r="I59" s="101">
        <f>I57+I58</f>
        <v>0</v>
      </c>
      <c r="J59" s="102"/>
    </row>
    <row r="60" spans="1:10" s="32" customFormat="1" ht="12.75">
      <c r="A60" s="6">
        <f>IF($B$1=1,SUM(I60),SUM(H60))</f>
        <v>0</v>
      </c>
      <c r="B60" s="95" t="s">
        <v>97</v>
      </c>
      <c r="C60" s="103" t="s">
        <v>98</v>
      </c>
      <c r="D60" s="104"/>
      <c r="E60" s="105">
        <v>5283.62928</v>
      </c>
      <c r="F60" s="104"/>
      <c r="G60" s="104"/>
      <c r="H60" s="104"/>
      <c r="I60" s="104" t="e">
        <f>I59-I46/I63*I64</f>
        <v>#DIV/0!</v>
      </c>
      <c r="J60" s="102"/>
    </row>
    <row r="61" spans="1:10" s="32" customFormat="1" ht="13.5" hidden="1">
      <c r="A61" s="101"/>
      <c r="B61" s="106" t="s">
        <v>99</v>
      </c>
      <c r="C61" s="107" t="s">
        <v>100</v>
      </c>
      <c r="D61" s="108"/>
      <c r="E61" s="109"/>
      <c r="F61" s="108"/>
      <c r="G61" s="108"/>
      <c r="H61" s="108"/>
      <c r="I61" s="108" t="e">
        <f>I60-I62</f>
        <v>#DIV/0!</v>
      </c>
      <c r="J61" s="102"/>
    </row>
    <row r="62" spans="1:10" s="32" customFormat="1" ht="13.5" hidden="1">
      <c r="A62" s="101"/>
      <c r="B62" s="106" t="s">
        <v>101</v>
      </c>
      <c r="C62" s="107" t="s">
        <v>102</v>
      </c>
      <c r="D62" s="110"/>
      <c r="E62" s="109"/>
      <c r="F62" s="110"/>
      <c r="G62" s="110"/>
      <c r="H62" s="110"/>
      <c r="I62" s="110">
        <f>I56</f>
        <v>0</v>
      </c>
      <c r="J62" s="102"/>
    </row>
    <row r="63" spans="1:9" s="32" customFormat="1" ht="12.75">
      <c r="A63" s="6">
        <f>IF($B$1=1,SUM(I63),SUM(H63))</f>
        <v>0</v>
      </c>
      <c r="B63" s="26" t="s">
        <v>103</v>
      </c>
      <c r="C63" s="111" t="s">
        <v>104</v>
      </c>
      <c r="D63" s="28"/>
      <c r="E63" s="58">
        <v>539915.494</v>
      </c>
      <c r="F63" s="58"/>
      <c r="G63" s="58"/>
      <c r="H63" s="58"/>
      <c r="I63" s="112"/>
    </row>
    <row r="64" spans="1:9" s="32" customFormat="1" ht="12.75">
      <c r="A64" s="6">
        <f>IF($B$1=1,SUM(I64),SUM(H64))</f>
        <v>0</v>
      </c>
      <c r="B64" s="26" t="s">
        <v>105</v>
      </c>
      <c r="C64" s="111" t="s">
        <v>106</v>
      </c>
      <c r="D64" s="60"/>
      <c r="E64" s="58">
        <f>E63-E65</f>
        <v>440679.78299999994</v>
      </c>
      <c r="F64" s="113"/>
      <c r="G64" s="113"/>
      <c r="H64" s="114"/>
      <c r="I64" s="112"/>
    </row>
    <row r="65" spans="1:9" s="32" customFormat="1" ht="12.75">
      <c r="A65" s="6">
        <f>IF($B$1=1,SUM(I65),SUM(H65))</f>
        <v>0</v>
      </c>
      <c r="B65" s="26" t="s">
        <v>107</v>
      </c>
      <c r="C65" s="111" t="s">
        <v>108</v>
      </c>
      <c r="D65" s="28"/>
      <c r="E65" s="58">
        <v>99235.71100000002</v>
      </c>
      <c r="F65" s="58"/>
      <c r="G65" s="58"/>
      <c r="H65" s="58"/>
      <c r="I65" s="112"/>
    </row>
    <row r="66" spans="1:9" s="32" customFormat="1" ht="25.5">
      <c r="A66" s="6"/>
      <c r="B66" s="26"/>
      <c r="C66" s="115" t="s">
        <v>141</v>
      </c>
      <c r="D66" s="28"/>
      <c r="E66" s="58">
        <f>+E67+E68</f>
        <v>238175.097</v>
      </c>
      <c r="F66" s="58"/>
      <c r="G66" s="58"/>
      <c r="H66" s="58"/>
      <c r="I66" s="112"/>
    </row>
    <row r="67" spans="1:9" s="32" customFormat="1" ht="12.75">
      <c r="A67" s="6"/>
      <c r="B67" s="26"/>
      <c r="C67" s="115" t="s">
        <v>142</v>
      </c>
      <c r="D67" s="28"/>
      <c r="E67" s="58">
        <v>138939.386</v>
      </c>
      <c r="F67" s="58"/>
      <c r="G67" s="58"/>
      <c r="H67" s="58"/>
      <c r="I67" s="112"/>
    </row>
    <row r="68" spans="1:9" s="32" customFormat="1" ht="12.75">
      <c r="A68" s="6"/>
      <c r="B68" s="26"/>
      <c r="C68" s="115" t="s">
        <v>143</v>
      </c>
      <c r="D68" s="28"/>
      <c r="E68" s="58">
        <f>+E65</f>
        <v>99235.71100000002</v>
      </c>
      <c r="F68" s="58"/>
      <c r="G68" s="58"/>
      <c r="H68" s="58"/>
      <c r="I68" s="112"/>
    </row>
    <row r="69" spans="1:9" s="32" customFormat="1" ht="15.75">
      <c r="A69" s="6"/>
      <c r="B69" s="116">
        <v>19</v>
      </c>
      <c r="C69" s="117" t="s">
        <v>109</v>
      </c>
      <c r="D69" s="28"/>
      <c r="E69" s="58">
        <v>13.394</v>
      </c>
      <c r="F69" s="58"/>
      <c r="G69" s="58"/>
      <c r="H69" s="58"/>
      <c r="I69" s="112"/>
    </row>
    <row r="70" spans="1:9" s="32" customFormat="1" ht="12.75">
      <c r="A70" s="6">
        <f aca="true" t="shared" si="6" ref="A70:A81">IF($B$1=1,SUM(I70),SUM(H70))</f>
        <v>0</v>
      </c>
      <c r="B70" s="26">
        <v>20</v>
      </c>
      <c r="C70" s="118" t="s">
        <v>110</v>
      </c>
      <c r="D70" s="28"/>
      <c r="E70" s="58">
        <v>17</v>
      </c>
      <c r="F70" s="28"/>
      <c r="G70" s="28"/>
      <c r="H70" s="30">
        <v>0</v>
      </c>
      <c r="I70" s="119"/>
    </row>
    <row r="71" spans="1:9" s="32" customFormat="1" ht="12.75">
      <c r="A71" s="6" t="e">
        <f t="shared" si="6"/>
        <v>#DIV/0!</v>
      </c>
      <c r="B71" s="26">
        <v>21</v>
      </c>
      <c r="C71" s="118" t="s">
        <v>111</v>
      </c>
      <c r="D71" s="41"/>
      <c r="E71" s="120">
        <f>E18/E70/12*1000</f>
        <v>15031.97947608882</v>
      </c>
      <c r="F71" s="120"/>
      <c r="G71" s="120"/>
      <c r="H71" s="121" t="e">
        <v>#DIV/0!</v>
      </c>
      <c r="I71" s="112"/>
    </row>
    <row r="72" spans="1:9" s="32" customFormat="1" ht="12.75" hidden="1">
      <c r="A72" s="6">
        <f t="shared" si="6"/>
        <v>0</v>
      </c>
      <c r="B72" s="26" t="s">
        <v>112</v>
      </c>
      <c r="C72" s="118" t="s">
        <v>113</v>
      </c>
      <c r="D72" s="122">
        <v>1575.6760799999997</v>
      </c>
      <c r="E72" s="28"/>
      <c r="F72" s="122">
        <v>5900</v>
      </c>
      <c r="G72" s="122">
        <f>F72</f>
        <v>5900</v>
      </c>
      <c r="H72" s="30">
        <v>0</v>
      </c>
      <c r="I72" s="123"/>
    </row>
    <row r="73" spans="1:9" ht="15">
      <c r="A73" s="6">
        <f t="shared" si="6"/>
        <v>0</v>
      </c>
      <c r="I73" s="6"/>
    </row>
    <row r="74" spans="1:8" s="130" customFormat="1" ht="15">
      <c r="A74" s="6">
        <f t="shared" si="6"/>
        <v>0</v>
      </c>
      <c r="B74" s="126"/>
      <c r="C74" s="127" t="s">
        <v>114</v>
      </c>
      <c r="D74" s="128"/>
      <c r="E74" s="129" t="s">
        <v>115</v>
      </c>
      <c r="F74" s="298"/>
      <c r="G74" s="298"/>
      <c r="H74" s="298"/>
    </row>
    <row r="75" spans="1:8" s="137" customFormat="1" ht="11.25">
      <c r="A75" s="6">
        <f t="shared" si="6"/>
        <v>0</v>
      </c>
      <c r="B75" s="131"/>
      <c r="C75" s="132" t="s">
        <v>116</v>
      </c>
      <c r="D75" s="133"/>
      <c r="E75" s="134" t="s">
        <v>117</v>
      </c>
      <c r="F75" s="135"/>
      <c r="G75" s="134" t="s">
        <v>118</v>
      </c>
      <c r="H75" s="136"/>
    </row>
    <row r="76" spans="1:8" s="138" customFormat="1" ht="15">
      <c r="A76" s="6">
        <f t="shared" si="6"/>
        <v>0</v>
      </c>
      <c r="C76" s="127" t="s">
        <v>119</v>
      </c>
      <c r="D76" s="139"/>
      <c r="E76" s="140" t="s">
        <v>120</v>
      </c>
      <c r="F76" s="298"/>
      <c r="G76" s="298"/>
      <c r="H76" s="298"/>
    </row>
    <row r="77" spans="1:7" s="141" customFormat="1" ht="11.25">
      <c r="A77" s="6">
        <f t="shared" si="6"/>
        <v>0</v>
      </c>
      <c r="E77" s="142" t="s">
        <v>117</v>
      </c>
      <c r="G77" s="134" t="s">
        <v>118</v>
      </c>
    </row>
    <row r="78" ht="15">
      <c r="A78" s="6">
        <f t="shared" si="6"/>
        <v>0</v>
      </c>
    </row>
    <row r="79" ht="15">
      <c r="A79" s="6">
        <f t="shared" si="6"/>
        <v>0</v>
      </c>
    </row>
    <row r="80" ht="15">
      <c r="A80" s="6">
        <f t="shared" si="6"/>
        <v>0</v>
      </c>
    </row>
    <row r="81" ht="15">
      <c r="A81" s="6">
        <f t="shared" si="6"/>
        <v>0</v>
      </c>
    </row>
    <row r="82" ht="15">
      <c r="A82" s="143"/>
    </row>
  </sheetData>
  <sheetProtection password="CEEF" sheet="1" objects="1" scenarios="1" formatCells="0" formatColumns="0" formatRows="0" insertRows="0"/>
  <mergeCells count="11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F74:H74"/>
    <mergeCell ref="F76:H76"/>
  </mergeCells>
  <printOptions horizontalCentered="1"/>
  <pageMargins left="0.56" right="0.15748031496062992" top="0.31" bottom="0.24" header="0.18" footer="0.15748031496062992"/>
  <pageSetup horizontalDpi="600" verticalDpi="600" orientation="portrait" paperSize="9" scale="82" r:id="rId1"/>
  <headerFooter alignWithMargins="0">
    <oddHeader>&amp;C&amp;P&amp;RОПП</oddHeader>
    <oddFooter>&amp;L&amp;8&amp;F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13.00390625" style="3" customWidth="1"/>
    <col min="2" max="2" width="41.00390625" style="263" customWidth="1"/>
    <col min="3" max="3" width="16.421875" style="264" customWidth="1"/>
    <col min="4" max="4" width="16.7109375" style="265" customWidth="1"/>
    <col min="5" max="5" width="16.421875" style="265" customWidth="1"/>
    <col min="6" max="6" width="16.8515625" style="265" customWidth="1"/>
    <col min="7" max="7" width="16.57421875" style="265" customWidth="1"/>
    <col min="8" max="9" width="13.28125" style="256" customWidth="1"/>
    <col min="10" max="10" width="9.140625" style="257" customWidth="1"/>
    <col min="11" max="11" width="9.140625" style="1" customWidth="1"/>
    <col min="12" max="16384" width="9.140625" style="2" customWidth="1"/>
  </cols>
  <sheetData>
    <row r="2" spans="1:7" ht="15.75" customHeight="1">
      <c r="A2" s="302" t="s">
        <v>162</v>
      </c>
      <c r="B2" s="302"/>
      <c r="C2" s="302"/>
      <c r="D2" s="302"/>
      <c r="E2" s="302"/>
      <c r="F2" s="302"/>
      <c r="G2" s="302"/>
    </row>
    <row r="3" spans="1:4" ht="26.25" customHeight="1">
      <c r="A3" s="269"/>
      <c r="B3" s="262"/>
      <c r="D3" s="264"/>
    </row>
    <row r="4" spans="1:7" ht="16.5" customHeight="1">
      <c r="A4" s="303" t="s">
        <v>164</v>
      </c>
      <c r="B4" s="304" t="s">
        <v>15</v>
      </c>
      <c r="C4" s="305" t="s">
        <v>163</v>
      </c>
      <c r="D4" s="305"/>
      <c r="E4" s="305"/>
      <c r="F4" s="305"/>
      <c r="G4" s="306" t="s">
        <v>169</v>
      </c>
    </row>
    <row r="5" spans="1:7" ht="26.25" customHeight="1">
      <c r="A5" s="303"/>
      <c r="B5" s="304"/>
      <c r="C5" s="276" t="s">
        <v>1</v>
      </c>
      <c r="D5" s="276" t="s">
        <v>156</v>
      </c>
      <c r="E5" s="276" t="s">
        <v>157</v>
      </c>
      <c r="F5" s="276" t="s">
        <v>155</v>
      </c>
      <c r="G5" s="306"/>
    </row>
    <row r="6" spans="1:11" s="4" customFormat="1" ht="32.25" customHeight="1">
      <c r="A6" s="277" t="s">
        <v>4</v>
      </c>
      <c r="B6" s="278" t="s">
        <v>3</v>
      </c>
      <c r="C6" s="282"/>
      <c r="D6" s="282"/>
      <c r="E6" s="282"/>
      <c r="F6" s="282"/>
      <c r="G6" s="282"/>
      <c r="H6" s="258"/>
      <c r="I6" s="258"/>
      <c r="K6" s="5"/>
    </row>
    <row r="7" spans="1:9" s="271" customFormat="1" ht="15">
      <c r="A7" s="279">
        <v>1</v>
      </c>
      <c r="B7" s="280" t="s">
        <v>160</v>
      </c>
      <c r="C7" s="283"/>
      <c r="D7" s="283">
        <v>8106.031</v>
      </c>
      <c r="E7" s="283"/>
      <c r="F7" s="283"/>
      <c r="G7" s="283">
        <v>8106.031</v>
      </c>
      <c r="H7" s="270"/>
      <c r="I7" s="270"/>
    </row>
    <row r="8" spans="1:9" s="267" customFormat="1" ht="30" customHeight="1">
      <c r="A8" s="285">
        <v>2</v>
      </c>
      <c r="B8" s="281" t="s">
        <v>166</v>
      </c>
      <c r="C8" s="284"/>
      <c r="D8" s="284"/>
      <c r="E8" s="284">
        <v>5923.831</v>
      </c>
      <c r="F8" s="284">
        <v>1436.445</v>
      </c>
      <c r="G8" s="284">
        <v>7360.276</v>
      </c>
      <c r="H8" s="266"/>
      <c r="I8" s="266"/>
    </row>
    <row r="9" spans="1:9" s="267" customFormat="1" ht="45" customHeight="1">
      <c r="A9" s="285">
        <v>3</v>
      </c>
      <c r="B9" s="280" t="s">
        <v>161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266"/>
      <c r="I9" s="266"/>
    </row>
    <row r="10" spans="1:9" s="267" customFormat="1" ht="16.5" customHeight="1">
      <c r="A10" s="307">
        <v>4</v>
      </c>
      <c r="B10" s="281" t="s">
        <v>158</v>
      </c>
      <c r="C10" s="284"/>
      <c r="D10" s="284">
        <v>393.164</v>
      </c>
      <c r="E10" s="284">
        <v>352.591</v>
      </c>
      <c r="F10" s="284"/>
      <c r="G10" s="284">
        <v>745.755</v>
      </c>
      <c r="H10" s="268"/>
      <c r="I10" s="266"/>
    </row>
    <row r="11" spans="1:9" s="267" customFormat="1" ht="15">
      <c r="A11" s="307"/>
      <c r="B11" s="281" t="s">
        <v>159</v>
      </c>
      <c r="C11" s="284"/>
      <c r="D11" s="284">
        <v>4.85</v>
      </c>
      <c r="E11" s="284">
        <v>4.35</v>
      </c>
      <c r="F11" s="284"/>
      <c r="G11" s="284">
        <v>9.2</v>
      </c>
      <c r="H11" s="266"/>
      <c r="I11" s="266"/>
    </row>
    <row r="12" spans="1:11" s="4" customFormat="1" ht="15.75">
      <c r="A12" s="277" t="s">
        <v>5</v>
      </c>
      <c r="B12" s="278" t="s">
        <v>2</v>
      </c>
      <c r="C12" s="284"/>
      <c r="D12" s="284"/>
      <c r="E12" s="284"/>
      <c r="F12" s="284"/>
      <c r="G12" s="284"/>
      <c r="H12" s="258"/>
      <c r="I12" s="258"/>
      <c r="K12" s="5"/>
    </row>
    <row r="13" spans="1:9" s="267" customFormat="1" ht="31.5" customHeight="1">
      <c r="A13" s="285">
        <v>1</v>
      </c>
      <c r="B13" s="281" t="s">
        <v>168</v>
      </c>
      <c r="C13" s="284"/>
      <c r="D13" s="284"/>
      <c r="E13" s="284"/>
      <c r="F13" s="284"/>
      <c r="G13" s="284"/>
      <c r="H13" s="266"/>
      <c r="I13" s="266"/>
    </row>
    <row r="14" spans="1:11" s="275" customFormat="1" ht="30">
      <c r="A14" s="285">
        <v>2</v>
      </c>
      <c r="B14" s="280" t="s">
        <v>165</v>
      </c>
      <c r="C14" s="283"/>
      <c r="D14" s="283"/>
      <c r="E14" s="283"/>
      <c r="F14" s="283"/>
      <c r="G14" s="283">
        <v>1008.829</v>
      </c>
      <c r="H14" s="272"/>
      <c r="I14" s="272"/>
      <c r="J14" s="273"/>
      <c r="K14" s="274"/>
    </row>
    <row r="15" spans="1:9" s="261" customFormat="1" ht="32.25" customHeight="1">
      <c r="A15" s="285">
        <v>3</v>
      </c>
      <c r="B15" s="280" t="s">
        <v>167</v>
      </c>
      <c r="C15" s="284">
        <v>0</v>
      </c>
      <c r="D15" s="284">
        <v>0</v>
      </c>
      <c r="E15" s="284">
        <v>0</v>
      </c>
      <c r="F15" s="284">
        <v>0</v>
      </c>
      <c r="G15" s="284">
        <v>0</v>
      </c>
      <c r="H15" s="260"/>
      <c r="I15" s="260"/>
    </row>
    <row r="16" ht="14.25">
      <c r="D16" s="264"/>
    </row>
    <row r="17" ht="14.25">
      <c r="D17" s="264"/>
    </row>
  </sheetData>
  <sheetProtection/>
  <mergeCells count="6">
    <mergeCell ref="A2:G2"/>
    <mergeCell ref="A4:A5"/>
    <mergeCell ref="B4:B5"/>
    <mergeCell ref="C4:F4"/>
    <mergeCell ref="G4:G5"/>
    <mergeCell ref="A10:A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Поздеева В.Е.</cp:lastModifiedBy>
  <cp:lastPrinted>2014-03-04T12:04:05Z</cp:lastPrinted>
  <dcterms:created xsi:type="dcterms:W3CDTF">2010-02-15T13:42:22Z</dcterms:created>
  <dcterms:modified xsi:type="dcterms:W3CDTF">2014-03-13T06:04:08Z</dcterms:modified>
  <cp:category/>
  <cp:version/>
  <cp:contentType/>
  <cp:contentStatus/>
</cp:coreProperties>
</file>